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hiku46fs01\共有文書\ホームページ\★HP更新（毎月1日.15日）\"/>
    </mc:Choice>
  </mc:AlternateContent>
  <xr:revisionPtr revIDLastSave="0" documentId="13_ncr:1_{176F24C4-D97B-4398-98C3-74030CE28D6E}" xr6:coauthVersionLast="47" xr6:coauthVersionMax="47" xr10:uidLastSave="{00000000-0000-0000-0000-000000000000}"/>
  <bookViews>
    <workbookView xWindow="-120" yWindow="-120" windowWidth="29040" windowHeight="15720" tabRatio="704" activeTab="8" xr2:uid="{00000000-000D-0000-FFFF-FFFF00000000}"/>
  </bookViews>
  <sheets>
    <sheet name="１月" sheetId="1" r:id="rId1"/>
    <sheet name="2月" sheetId="2" r:id="rId2"/>
    <sheet name="3月" sheetId="4" r:id="rId3"/>
    <sheet name="4月" sheetId="5" r:id="rId4"/>
    <sheet name="5月" sheetId="6" r:id="rId5"/>
    <sheet name="6月" sheetId="7" r:id="rId6"/>
    <sheet name="7月" sheetId="8" r:id="rId7"/>
    <sheet name="8月" sheetId="9" r:id="rId8"/>
    <sheet name="9月" sheetId="10" r:id="rId9"/>
    <sheet name="10月" sheetId="11" r:id="rId10"/>
    <sheet name="11月" sheetId="12" r:id="rId11"/>
    <sheet name="12月" sheetId="13" r:id="rId12"/>
    <sheet name="価格推移グラフ" sheetId="3" r:id="rId13"/>
  </sheets>
  <externalReferences>
    <externalReference r:id="rId14"/>
  </externalReferences>
  <definedNames>
    <definedName name="_xlnm.Print_Area" localSheetId="0">'１月'!$A$1:$J$49</definedName>
    <definedName name="_xlnm.Print_Area" localSheetId="1">'2月'!$A$1:$J$49</definedName>
    <definedName name="_xlnm.Print_Area" localSheetId="2">'3月'!$A$1:$J$49</definedName>
    <definedName name="_xlnm.Print_Area" localSheetId="7">'8月'!$A$1:$J$49</definedName>
    <definedName name="_xlnm.Print_Area" localSheetId="8">'9月'!$A$1:$J$48</definedName>
    <definedName name="_xlnm.Print_Area" localSheetId="12">価格推移グラフ!$A$8:$DF$60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 i="10" l="1"/>
  <c r="J15" i="10"/>
  <c r="J19" i="10"/>
  <c r="I19" i="10"/>
  <c r="G19" i="10"/>
  <c r="E19" i="10"/>
  <c r="J14" i="10"/>
  <c r="I14" i="10"/>
  <c r="G14" i="10"/>
  <c r="E14" i="10"/>
  <c r="J13" i="10"/>
  <c r="I13" i="10"/>
  <c r="G13" i="10"/>
  <c r="E13" i="10"/>
  <c r="J12" i="10"/>
  <c r="I12" i="10"/>
  <c r="G12" i="10"/>
  <c r="E12" i="10"/>
  <c r="J17" i="10"/>
  <c r="I17" i="10"/>
  <c r="G17" i="10"/>
  <c r="E17" i="10"/>
  <c r="J9" i="10"/>
  <c r="I9" i="10"/>
  <c r="G9" i="10"/>
  <c r="E9" i="10"/>
  <c r="J8" i="10"/>
  <c r="I8" i="10"/>
  <c r="G8" i="10"/>
  <c r="E8" i="10"/>
  <c r="J10" i="10"/>
  <c r="I10" i="10"/>
  <c r="H10" i="10"/>
  <c r="G10" i="10"/>
  <c r="F10" i="10"/>
  <c r="E10" i="10"/>
  <c r="D10" i="10"/>
  <c r="J5" i="10"/>
  <c r="I5" i="10"/>
  <c r="G5" i="10"/>
  <c r="E5" i="10"/>
  <c r="J25" i="9"/>
  <c r="E21" i="9"/>
  <c r="J30" i="9"/>
  <c r="I30" i="9"/>
  <c r="G30" i="9"/>
  <c r="E30" i="9"/>
  <c r="J29" i="9"/>
  <c r="I29" i="9"/>
  <c r="G29" i="9"/>
  <c r="E29" i="9"/>
  <c r="J28" i="9"/>
  <c r="I28" i="9"/>
  <c r="G28" i="9"/>
  <c r="E28" i="9"/>
  <c r="I25" i="9"/>
  <c r="G25" i="9"/>
  <c r="E25" i="9"/>
  <c r="G23" i="9"/>
  <c r="J23" i="9"/>
  <c r="I23" i="9"/>
  <c r="E23" i="9"/>
  <c r="J22" i="9"/>
  <c r="I22" i="9"/>
  <c r="G22" i="9"/>
  <c r="E22" i="9"/>
  <c r="J21" i="9"/>
  <c r="I21" i="9"/>
  <c r="G21" i="9"/>
  <c r="I12" i="9"/>
  <c r="G12" i="9"/>
  <c r="E12" i="9"/>
  <c r="J11" i="9"/>
  <c r="I11" i="9"/>
  <c r="G11" i="9"/>
  <c r="E11" i="9"/>
  <c r="J10" i="9"/>
  <c r="I10" i="9"/>
  <c r="G10" i="9"/>
  <c r="E10" i="9"/>
  <c r="J9" i="9"/>
  <c r="I9" i="9"/>
  <c r="G9" i="9"/>
  <c r="E9" i="9"/>
  <c r="J8" i="9"/>
  <c r="I8" i="9"/>
  <c r="G8" i="9"/>
  <c r="E8" i="9"/>
  <c r="J7" i="9"/>
  <c r="I7" i="9"/>
  <c r="G7" i="9"/>
  <c r="E7" i="9"/>
  <c r="J6" i="9"/>
  <c r="I6" i="9"/>
  <c r="G6" i="9"/>
  <c r="E6" i="9"/>
  <c r="J35" i="8"/>
  <c r="I35" i="8"/>
  <c r="G35" i="8"/>
  <c r="E35" i="8"/>
  <c r="J33" i="8"/>
  <c r="I33" i="8"/>
  <c r="G33" i="8"/>
  <c r="E33" i="8"/>
  <c r="J31" i="8"/>
  <c r="I31" i="8"/>
  <c r="G31" i="8"/>
  <c r="E31" i="8"/>
  <c r="J32" i="8"/>
  <c r="I32" i="8"/>
  <c r="G32" i="8"/>
  <c r="E32" i="8"/>
  <c r="J28" i="8"/>
  <c r="I28" i="8"/>
  <c r="G28" i="8"/>
  <c r="E28" i="8"/>
  <c r="J26" i="8"/>
  <c r="I26" i="8"/>
  <c r="G26" i="8"/>
  <c r="E26" i="8"/>
  <c r="J21" i="8"/>
  <c r="I21" i="8"/>
  <c r="G21" i="8"/>
  <c r="E21" i="8"/>
  <c r="J20" i="8"/>
  <c r="I20" i="8"/>
  <c r="G20" i="8"/>
  <c r="E20" i="8"/>
  <c r="J19" i="8"/>
  <c r="I19" i="8"/>
  <c r="G19" i="8"/>
  <c r="E19" i="8"/>
  <c r="J18" i="8"/>
  <c r="I18" i="8"/>
  <c r="G18" i="8"/>
  <c r="E18" i="8"/>
  <c r="H18" i="8"/>
  <c r="J15" i="8"/>
  <c r="I15" i="8"/>
  <c r="G15" i="8"/>
  <c r="E15" i="8"/>
  <c r="J14" i="8"/>
  <c r="I14" i="8"/>
  <c r="G14" i="8"/>
  <c r="E14" i="8"/>
  <c r="J13" i="8"/>
  <c r="I13" i="8"/>
  <c r="G13" i="8"/>
  <c r="E13" i="8"/>
  <c r="J12" i="8"/>
  <c r="I12" i="8"/>
  <c r="G12" i="8"/>
  <c r="E12" i="8"/>
  <c r="J11" i="8"/>
  <c r="I11" i="8"/>
  <c r="G11" i="8"/>
  <c r="E11" i="8"/>
  <c r="J10" i="8"/>
  <c r="I10" i="8"/>
  <c r="G10" i="8"/>
  <c r="E10" i="8"/>
  <c r="J9" i="8"/>
  <c r="I9" i="8"/>
  <c r="G9" i="8"/>
  <c r="E9" i="8"/>
  <c r="J8" i="8"/>
  <c r="I8" i="8"/>
  <c r="G8" i="8"/>
  <c r="E8" i="8"/>
  <c r="J7" i="8"/>
  <c r="I7" i="8"/>
  <c r="G7" i="8"/>
  <c r="E7" i="8"/>
  <c r="J6" i="8"/>
  <c r="I6" i="8"/>
  <c r="G6" i="8"/>
  <c r="E6" i="8"/>
  <c r="J5" i="8"/>
  <c r="I5" i="8"/>
  <c r="G5" i="8"/>
  <c r="E5" i="8"/>
  <c r="J29" i="7"/>
  <c r="I29" i="7"/>
  <c r="G29" i="7"/>
  <c r="E29" i="7"/>
  <c r="J30" i="7"/>
  <c r="I30" i="7"/>
  <c r="G30" i="7"/>
  <c r="E30" i="7"/>
  <c r="J28" i="7"/>
  <c r="I28" i="7"/>
  <c r="G28" i="7"/>
  <c r="E28" i="7"/>
  <c r="I22" i="7"/>
  <c r="I23" i="7"/>
  <c r="J23" i="7"/>
  <c r="G23" i="7"/>
  <c r="E23" i="7"/>
  <c r="H23" i="7"/>
  <c r="J22" i="7"/>
  <c r="G22" i="7"/>
  <c r="E22" i="7"/>
  <c r="J21" i="7"/>
  <c r="I21" i="7"/>
  <c r="G21" i="7"/>
  <c r="E21" i="7"/>
  <c r="J20" i="7"/>
  <c r="I20" i="7"/>
  <c r="G20" i="7"/>
  <c r="E20" i="7"/>
  <c r="J18" i="7"/>
  <c r="I18" i="7"/>
  <c r="G18" i="7"/>
  <c r="E18" i="7"/>
  <c r="J17" i="7"/>
  <c r="I17" i="7"/>
  <c r="G17" i="7"/>
  <c r="E17" i="7"/>
  <c r="J16" i="7"/>
  <c r="I16" i="7"/>
  <c r="G16" i="7"/>
  <c r="E16" i="7"/>
  <c r="J15" i="7"/>
  <c r="I15" i="7"/>
  <c r="G15" i="7"/>
  <c r="E15" i="7"/>
  <c r="J14" i="7"/>
  <c r="I14" i="7"/>
  <c r="G14" i="7"/>
  <c r="E14" i="7"/>
  <c r="J13" i="7"/>
  <c r="I13" i="7"/>
  <c r="G13" i="7"/>
  <c r="E13" i="7"/>
  <c r="J12" i="7"/>
  <c r="I12" i="7"/>
  <c r="G12" i="7"/>
  <c r="E12" i="7"/>
  <c r="J7" i="7"/>
  <c r="I7" i="7"/>
  <c r="G7" i="7"/>
  <c r="E7" i="7"/>
  <c r="J31" i="6"/>
  <c r="J30" i="6"/>
  <c r="J29" i="6"/>
  <c r="I31" i="6"/>
  <c r="G31" i="6"/>
  <c r="E31" i="6"/>
  <c r="L30" i="5"/>
  <c r="I30" i="6"/>
  <c r="G30" i="6"/>
  <c r="E30" i="6"/>
  <c r="I29" i="6"/>
  <c r="G29" i="6"/>
  <c r="E29" i="6"/>
  <c r="J27" i="6"/>
  <c r="I27" i="6"/>
  <c r="G27" i="6"/>
  <c r="E27" i="6"/>
  <c r="J26" i="6"/>
  <c r="I26" i="6"/>
  <c r="G26" i="6"/>
  <c r="E26" i="6"/>
  <c r="H26" i="6"/>
  <c r="J25" i="6"/>
  <c r="I25" i="6"/>
  <c r="G25" i="6"/>
  <c r="E25" i="6"/>
  <c r="J24" i="6"/>
  <c r="I24" i="6"/>
  <c r="G24" i="6"/>
  <c r="E24" i="6"/>
  <c r="J23" i="6"/>
  <c r="I23" i="6"/>
  <c r="G23" i="6"/>
  <c r="E23" i="6"/>
  <c r="J22" i="6"/>
  <c r="I22" i="6"/>
  <c r="G22" i="6"/>
  <c r="E22" i="6"/>
  <c r="I21" i="6"/>
  <c r="I20" i="6"/>
  <c r="I19" i="6"/>
  <c r="J21" i="6"/>
  <c r="G21" i="6"/>
  <c r="E21" i="6"/>
  <c r="J20" i="6"/>
  <c r="G20" i="6"/>
  <c r="E20" i="6"/>
  <c r="J19" i="6" l="1"/>
  <c r="G19" i="6"/>
  <c r="E19" i="6"/>
  <c r="J18" i="6"/>
  <c r="I18" i="6"/>
  <c r="G18" i="6"/>
  <c r="E18" i="6"/>
  <c r="J17" i="6"/>
  <c r="I12" i="6"/>
  <c r="I13" i="6"/>
  <c r="I14" i="6"/>
  <c r="I15" i="6"/>
  <c r="I16" i="6"/>
  <c r="I17" i="6"/>
  <c r="I11" i="6"/>
  <c r="I7" i="5"/>
  <c r="I8" i="5"/>
  <c r="I10" i="5"/>
  <c r="I11" i="5"/>
  <c r="I12" i="5"/>
  <c r="I13" i="5"/>
  <c r="I14" i="5"/>
  <c r="I19" i="5"/>
  <c r="I20" i="5"/>
  <c r="I21" i="5"/>
  <c r="I25" i="5"/>
  <c r="I27" i="5"/>
  <c r="I28" i="5"/>
  <c r="I29" i="5"/>
  <c r="I6" i="5"/>
  <c r="G17" i="6"/>
  <c r="E17" i="6"/>
  <c r="J16" i="6"/>
  <c r="G16" i="6"/>
  <c r="E16" i="6"/>
  <c r="J15" i="6"/>
  <c r="G15" i="6"/>
  <c r="E15" i="6"/>
  <c r="J14" i="6"/>
  <c r="G14" i="6"/>
  <c r="E14" i="6"/>
  <c r="J13" i="6"/>
  <c r="G13" i="6"/>
  <c r="E13" i="6"/>
  <c r="J12" i="6"/>
  <c r="G12" i="6"/>
  <c r="E12" i="6"/>
  <c r="J11" i="6"/>
  <c r="G11" i="6"/>
  <c r="E11" i="6"/>
  <c r="J29" i="5"/>
  <c r="J28" i="5"/>
  <c r="J27" i="5"/>
  <c r="G28" i="5"/>
  <c r="E28" i="5"/>
  <c r="G27" i="5"/>
  <c r="G29" i="5"/>
  <c r="E29" i="5"/>
  <c r="E27" i="5"/>
  <c r="J25" i="5"/>
  <c r="G25" i="5"/>
  <c r="E25" i="5"/>
  <c r="J21" i="5"/>
  <c r="G21" i="5"/>
  <c r="E21" i="5"/>
  <c r="J20" i="5"/>
  <c r="G20" i="5"/>
  <c r="E20" i="5"/>
  <c r="J19" i="5"/>
  <c r="G19" i="5"/>
  <c r="E19" i="5"/>
  <c r="J14" i="5"/>
  <c r="G14" i="5"/>
  <c r="E14" i="5"/>
  <c r="J13" i="5"/>
  <c r="G13" i="5"/>
  <c r="E13" i="5"/>
  <c r="J12" i="5"/>
  <c r="G12" i="5"/>
  <c r="E12" i="5"/>
  <c r="J11" i="5"/>
  <c r="G11" i="5"/>
  <c r="E11" i="5"/>
  <c r="J10" i="5"/>
  <c r="G10" i="5"/>
  <c r="E10" i="5"/>
  <c r="J8" i="5"/>
  <c r="G8" i="5"/>
  <c r="E8" i="5"/>
  <c r="J7" i="5"/>
  <c r="G7" i="5"/>
  <c r="E7" i="5"/>
  <c r="J6" i="5"/>
  <c r="G6" i="5"/>
  <c r="E6" i="5"/>
  <c r="J30" i="4"/>
  <c r="I30" i="4"/>
  <c r="G30" i="4"/>
  <c r="E30" i="4"/>
  <c r="J29" i="4"/>
  <c r="I29" i="4"/>
  <c r="G29" i="4"/>
  <c r="E29" i="4"/>
  <c r="J28" i="4"/>
  <c r="I28" i="4"/>
  <c r="G28" i="4"/>
  <c r="E28" i="4"/>
  <c r="J27" i="4"/>
  <c r="I27" i="4"/>
  <c r="G27" i="4"/>
  <c r="E27" i="4"/>
  <c r="J23" i="4"/>
  <c r="I23" i="4"/>
  <c r="E23" i="4"/>
  <c r="J21" i="4"/>
  <c r="I21" i="4"/>
  <c r="G21" i="4"/>
  <c r="G23" i="4"/>
  <c r="J22" i="4"/>
  <c r="I22" i="4"/>
  <c r="G22" i="4"/>
  <c r="E22" i="4"/>
  <c r="E21" i="4"/>
  <c r="J20" i="4"/>
  <c r="I20" i="4"/>
  <c r="G20" i="4"/>
  <c r="E20" i="4"/>
  <c r="J17" i="4"/>
  <c r="I17" i="4"/>
  <c r="G17" i="4"/>
  <c r="E17" i="4"/>
  <c r="J16" i="4"/>
  <c r="I16" i="4"/>
  <c r="G16" i="4"/>
  <c r="E16" i="4"/>
  <c r="J15" i="4"/>
  <c r="I15" i="4"/>
  <c r="G15" i="4"/>
  <c r="E15" i="4"/>
  <c r="J14" i="4"/>
  <c r="I14" i="4"/>
  <c r="G14" i="4"/>
  <c r="E14" i="4"/>
  <c r="J13" i="4"/>
  <c r="I13" i="4"/>
  <c r="G13" i="4"/>
  <c r="E13" i="4"/>
  <c r="J12" i="4"/>
  <c r="I12" i="4"/>
  <c r="G12" i="4"/>
  <c r="E12" i="4"/>
  <c r="J11" i="4"/>
  <c r="I11" i="4"/>
  <c r="G11" i="4"/>
  <c r="E11" i="4"/>
  <c r="J10" i="4"/>
  <c r="I10" i="4"/>
  <c r="G10" i="4"/>
  <c r="E10" i="4"/>
  <c r="J9" i="4"/>
  <c r="I9" i="4"/>
  <c r="G9" i="4"/>
  <c r="E9" i="4"/>
  <c r="J8" i="4"/>
  <c r="I8" i="4"/>
  <c r="G8" i="4"/>
  <c r="E8" i="4"/>
  <c r="J6" i="4"/>
  <c r="I6" i="4"/>
  <c r="G6" i="4"/>
  <c r="E6" i="4"/>
  <c r="J29" i="2"/>
  <c r="I29" i="2"/>
  <c r="G29" i="2"/>
  <c r="E29" i="2"/>
  <c r="J28" i="2"/>
  <c r="I28" i="2"/>
  <c r="G28" i="2"/>
  <c r="E28" i="2"/>
  <c r="J27" i="2"/>
  <c r="I27" i="2"/>
  <c r="G27" i="2"/>
  <c r="E27" i="2"/>
  <c r="J23" i="2"/>
  <c r="I23" i="2"/>
  <c r="G23" i="2"/>
  <c r="E23" i="2"/>
  <c r="J22" i="2"/>
  <c r="I22" i="2"/>
  <c r="G22" i="2"/>
  <c r="E22" i="2"/>
  <c r="J21" i="2"/>
  <c r="I21" i="2"/>
  <c r="G21" i="2"/>
  <c r="E21" i="2"/>
  <c r="J20" i="2"/>
  <c r="I20" i="2"/>
  <c r="G20" i="2"/>
  <c r="E20" i="2"/>
  <c r="J14" i="2"/>
  <c r="I14" i="2"/>
  <c r="G14" i="2"/>
  <c r="E14" i="2"/>
  <c r="J13" i="2"/>
  <c r="I13" i="2"/>
  <c r="G13" i="2"/>
  <c r="E13" i="2"/>
  <c r="J12" i="2"/>
  <c r="I12" i="2"/>
  <c r="G12" i="2"/>
  <c r="E12" i="2"/>
  <c r="J11" i="2"/>
  <c r="I11" i="2"/>
  <c r="G11" i="2"/>
  <c r="E11" i="2"/>
  <c r="J10" i="2"/>
  <c r="I10" i="2"/>
  <c r="G10" i="2"/>
  <c r="E10" i="2"/>
  <c r="J9" i="2"/>
  <c r="I9" i="2"/>
  <c r="G9" i="2"/>
  <c r="E9" i="2"/>
  <c r="J8" i="2"/>
  <c r="I8" i="2"/>
  <c r="G8" i="2"/>
  <c r="E8" i="2"/>
  <c r="J7" i="2"/>
  <c r="I7" i="2"/>
  <c r="G7" i="2"/>
  <c r="E7" i="2"/>
  <c r="L32" i="1"/>
  <c r="L27" i="1"/>
  <c r="N27" i="1"/>
  <c r="M27" i="1"/>
  <c r="N32" i="1"/>
  <c r="M32" i="1"/>
  <c r="J32" i="1"/>
  <c r="I32" i="1"/>
  <c r="G32" i="1"/>
  <c r="E32" i="1"/>
  <c r="J31" i="1"/>
  <c r="I31" i="1"/>
  <c r="G31" i="1"/>
  <c r="E31" i="1"/>
  <c r="J30" i="1"/>
  <c r="I30" i="1"/>
  <c r="G30" i="1"/>
  <c r="E30" i="1"/>
  <c r="J28" i="1"/>
  <c r="I28" i="1"/>
  <c r="G28" i="1"/>
  <c r="E28" i="1"/>
  <c r="J27" i="1"/>
  <c r="I27" i="1"/>
  <c r="G27" i="1"/>
  <c r="E27" i="1"/>
  <c r="J26" i="1"/>
  <c r="I26" i="1"/>
  <c r="G26" i="1"/>
  <c r="E26" i="1"/>
  <c r="J25" i="1"/>
  <c r="I25" i="1"/>
  <c r="G25" i="1"/>
  <c r="E25" i="1"/>
  <c r="J24" i="1"/>
  <c r="I24" i="1"/>
  <c r="G24" i="1"/>
  <c r="E24" i="1"/>
  <c r="J23" i="1"/>
  <c r="I23" i="1" l="1"/>
  <c r="G23" i="1"/>
  <c r="E23" i="1"/>
  <c r="J21" i="1"/>
  <c r="I21" i="1"/>
  <c r="G21" i="1"/>
  <c r="E21" i="1"/>
  <c r="J20" i="1"/>
  <c r="I20" i="1"/>
  <c r="G20" i="1"/>
  <c r="E20" i="1"/>
  <c r="J19" i="1"/>
  <c r="I19" i="1"/>
  <c r="G19" i="1"/>
  <c r="E19" i="1"/>
  <c r="J18" i="1"/>
  <c r="I18" i="1"/>
  <c r="G18" i="1"/>
  <c r="E18" i="1"/>
  <c r="N15" i="1"/>
  <c r="M15" i="1"/>
  <c r="J15" i="1"/>
  <c r="I15" i="1"/>
  <c r="G15" i="1"/>
  <c r="E15" i="1"/>
  <c r="J14" i="1"/>
  <c r="I14" i="1"/>
  <c r="G14" i="1"/>
  <c r="E14" i="1"/>
  <c r="J13" i="1"/>
  <c r="I13" i="1"/>
  <c r="G13" i="1"/>
  <c r="E13" i="1"/>
  <c r="J12" i="1"/>
  <c r="I12" i="1"/>
  <c r="G12" i="1"/>
  <c r="E12" i="1"/>
  <c r="J11" i="1"/>
  <c r="I11" i="1"/>
  <c r="G11" i="1"/>
  <c r="E11" i="1"/>
  <c r="J10" i="1"/>
  <c r="I10" i="1"/>
  <c r="G10" i="1"/>
  <c r="E10" i="1"/>
  <c r="J9" i="1"/>
  <c r="I9" i="1"/>
  <c r="G9" i="1"/>
  <c r="E9" i="1"/>
  <c r="EO8" i="3"/>
  <c r="FA8" i="3"/>
  <c r="D34" i="2"/>
  <c r="I48" i="13"/>
  <c r="I48" i="12"/>
  <c r="I48" i="11"/>
  <c r="I47" i="10"/>
  <c r="I48" i="9"/>
  <c r="I48" i="8"/>
  <c r="I48" i="7"/>
  <c r="I48" i="6"/>
  <c r="I48" i="5"/>
  <c r="I48" i="4"/>
  <c r="FM5" i="3"/>
  <c r="FM4" i="3"/>
  <c r="FM3" i="3"/>
  <c r="I48" i="2"/>
  <c r="I48" i="1"/>
  <c r="I42" i="1"/>
  <c r="H36" i="1" l="1"/>
  <c r="F36" i="1"/>
  <c r="D36" i="1"/>
  <c r="DQ8" i="3" l="1"/>
  <c r="H35" i="6"/>
  <c r="H34" i="5" l="1"/>
  <c r="H33" i="5"/>
  <c r="H32" i="5"/>
  <c r="H31" i="5"/>
  <c r="H30" i="5"/>
  <c r="H5" i="5"/>
  <c r="G36" i="4" l="1"/>
  <c r="FD4" i="3" s="1"/>
  <c r="E36" i="4"/>
  <c r="FD3" i="3" s="1"/>
  <c r="H35" i="4" l="1"/>
  <c r="H34" i="4"/>
  <c r="H33" i="4"/>
  <c r="G34" i="2" l="1"/>
  <c r="FC4" i="3" s="1"/>
  <c r="E34" i="2"/>
  <c r="FC3" i="3" s="1"/>
  <c r="EC5" i="3" l="1"/>
  <c r="EC8" i="3" s="1"/>
  <c r="EC4" i="3"/>
  <c r="EC3" i="3"/>
  <c r="G35" i="12" l="1"/>
  <c r="FL4" i="3" s="1"/>
  <c r="E35" i="12"/>
  <c r="FL3" i="3" s="1"/>
  <c r="G36" i="11" l="1"/>
  <c r="FK4" i="3" s="1"/>
  <c r="E36" i="11"/>
  <c r="FK3" i="3" s="1"/>
  <c r="G35" i="10" l="1"/>
  <c r="FJ4" i="3" s="1"/>
  <c r="E35" i="10"/>
  <c r="FJ3" i="3" s="1"/>
  <c r="G36" i="9" l="1"/>
  <c r="FI4" i="3" s="1"/>
  <c r="E36" i="9"/>
  <c r="FI3" i="3" s="1"/>
  <c r="G35" i="5" l="1"/>
  <c r="FE4" i="3" s="1"/>
  <c r="E35" i="5"/>
  <c r="FE3" i="3" s="1"/>
  <c r="I36" i="1" l="1"/>
  <c r="FB5" i="3" s="1"/>
  <c r="G36" i="1"/>
  <c r="FB4" i="3" s="1"/>
  <c r="E36" i="1"/>
  <c r="FB3" i="3" s="1"/>
  <c r="G36" i="8" l="1"/>
  <c r="FH4" i="3" s="1"/>
  <c r="G35" i="7"/>
  <c r="FG4" i="3" s="1"/>
  <c r="F36" i="6"/>
  <c r="D36" i="6"/>
  <c r="G36" i="6"/>
  <c r="FF4" i="3" s="1"/>
  <c r="E36" i="6"/>
  <c r="FF3" i="3" s="1"/>
  <c r="E36" i="8" l="1"/>
  <c r="FH3" i="3" s="1"/>
  <c r="E35" i="7"/>
  <c r="FG3" i="3" s="1"/>
  <c r="H35" i="7"/>
  <c r="I35" i="7" s="1"/>
  <c r="FG5" i="3" s="1"/>
  <c r="F35" i="7"/>
  <c r="D35" i="7"/>
  <c r="F35" i="5"/>
  <c r="D35" i="5"/>
  <c r="H36" i="4"/>
  <c r="I36" i="4" s="1"/>
  <c r="FD5" i="3" s="1"/>
  <c r="F36" i="4"/>
  <c r="D36" i="4"/>
  <c r="H35" i="5" l="1"/>
  <c r="I35" i="5" s="1"/>
  <c r="FE5" i="3" s="1"/>
  <c r="F36" i="13" l="1"/>
  <c r="G36" i="13" s="1"/>
  <c r="D36" i="13"/>
  <c r="F36" i="11"/>
  <c r="D36" i="11"/>
  <c r="E36" i="13" l="1"/>
  <c r="H36" i="13"/>
  <c r="I36" i="13" s="1"/>
  <c r="F36" i="8"/>
  <c r="D36" i="8"/>
  <c r="H36" i="8" l="1"/>
  <c r="I36" i="8" s="1"/>
  <c r="FH5" i="3" s="1"/>
  <c r="I42" i="9" l="1"/>
  <c r="I37" i="8"/>
  <c r="F35" i="12" l="1"/>
  <c r="D35" i="12"/>
  <c r="I41" i="13" l="1"/>
  <c r="I37" i="13"/>
  <c r="H35" i="12"/>
  <c r="I35" i="12" s="1"/>
  <c r="FL5" i="3" s="1"/>
  <c r="D35" i="10" l="1"/>
  <c r="F34" i="2" l="1"/>
  <c r="I37" i="1" l="1"/>
  <c r="I41" i="1"/>
  <c r="I42" i="2" s="1"/>
  <c r="I43" i="1" l="1"/>
  <c r="I47" i="1"/>
  <c r="I49" i="1" s="1"/>
  <c r="I47" i="13"/>
  <c r="I49" i="13" l="1"/>
  <c r="H36" i="11" l="1"/>
  <c r="I36" i="11" s="1"/>
  <c r="FK5" i="3" s="1"/>
  <c r="F35" i="10" l="1"/>
  <c r="I42" i="12" l="1"/>
  <c r="I41" i="11"/>
  <c r="I47" i="11" s="1"/>
  <c r="I49" i="11" s="1"/>
  <c r="I37" i="11"/>
  <c r="H35" i="10"/>
  <c r="I35" i="10" s="1"/>
  <c r="FJ5" i="3" s="1"/>
  <c r="F36" i="9" l="1"/>
  <c r="D36" i="9"/>
  <c r="H36" i="9" l="1"/>
  <c r="I36" i="9" s="1"/>
  <c r="FI5" i="3" s="1"/>
  <c r="I40" i="10"/>
  <c r="I46" i="10" s="1"/>
  <c r="I48" i="10" s="1"/>
  <c r="I42" i="11"/>
  <c r="I43" i="11" s="1"/>
  <c r="I36" i="10"/>
  <c r="I41" i="8" l="1"/>
  <c r="I47" i="8" l="1"/>
  <c r="I49" i="8" s="1"/>
  <c r="I42" i="8" l="1"/>
  <c r="I43" i="8" s="1"/>
  <c r="I41" i="7"/>
  <c r="I47" i="7" s="1"/>
  <c r="I49" i="7" s="1"/>
  <c r="I36" i="7"/>
  <c r="H36" i="6" l="1"/>
  <c r="I36" i="6" s="1"/>
  <c r="FF5" i="3" s="1"/>
  <c r="I42" i="7" l="1"/>
  <c r="I43" i="7" s="1"/>
  <c r="I37" i="6"/>
  <c r="I41" i="6"/>
  <c r="I47" i="6" l="1"/>
  <c r="I49" i="6" s="1"/>
  <c r="I42" i="6" l="1"/>
  <c r="I43" i="6" s="1"/>
  <c r="I41" i="5"/>
  <c r="I36" i="5"/>
  <c r="I47" i="5" l="1"/>
  <c r="I49" i="5" s="1"/>
  <c r="I42" i="13"/>
  <c r="I43" i="13" s="1"/>
  <c r="I37" i="4" l="1"/>
  <c r="I41" i="4"/>
  <c r="I47" i="4" s="1"/>
  <c r="I49" i="4" s="1"/>
  <c r="I42" i="5"/>
  <c r="I43" i="5" s="1"/>
  <c r="I41" i="12"/>
  <c r="I36" i="12"/>
  <c r="I47" i="12" l="1"/>
  <c r="I49" i="12" s="1"/>
  <c r="I43" i="12"/>
  <c r="I41" i="10"/>
  <c r="I42" i="10" s="1"/>
  <c r="I37" i="9" l="1"/>
  <c r="I41" i="9"/>
  <c r="I47" i="9" l="1"/>
  <c r="I49" i="9" s="1"/>
  <c r="I43" i="9"/>
  <c r="H34" i="2" l="1"/>
  <c r="I34" i="2" s="1"/>
  <c r="FC5" i="3" s="1"/>
  <c r="I41" i="2" l="1"/>
  <c r="I42" i="4"/>
  <c r="I43" i="4" s="1"/>
  <c r="I35" i="2"/>
  <c r="I43" i="2" l="1"/>
  <c r="I47" i="2"/>
  <c r="I49" i="2" s="1"/>
</calcChain>
</file>

<file path=xl/sharedStrings.xml><?xml version="1.0" encoding="utf-8"?>
<sst xmlns="http://schemas.openxmlformats.org/spreadsheetml/2006/main" count="1195" uniqueCount="238">
  <si>
    <t>開催日</t>
    <rPh sb="0" eb="2">
      <t>カイサイ</t>
    </rPh>
    <rPh sb="2" eb="3">
      <t>ヒ</t>
    </rPh>
    <phoneticPr fontId="1"/>
  </si>
  <si>
    <t>曜日</t>
    <rPh sb="0" eb="2">
      <t>ヨウビ</t>
    </rPh>
    <phoneticPr fontId="1"/>
  </si>
  <si>
    <t>市場名</t>
    <rPh sb="0" eb="2">
      <t>シジョウ</t>
    </rPh>
    <rPh sb="2" eb="3">
      <t>ナ</t>
    </rPh>
    <phoneticPr fontId="1"/>
  </si>
  <si>
    <t>頭数</t>
    <rPh sb="0" eb="2">
      <t>トウスウ</t>
    </rPh>
    <phoneticPr fontId="1"/>
  </si>
  <si>
    <t>平均</t>
    <rPh sb="0" eb="2">
      <t>ヘイキン</t>
    </rPh>
    <phoneticPr fontId="1"/>
  </si>
  <si>
    <t>め　　す</t>
    <phoneticPr fontId="1"/>
  </si>
  <si>
    <t>去　　勢</t>
    <rPh sb="0" eb="1">
      <t>キョ</t>
    </rPh>
    <rPh sb="3" eb="4">
      <t>ゼイ</t>
    </rPh>
    <phoneticPr fontId="1"/>
  </si>
  <si>
    <t>合　　計</t>
    <rPh sb="0" eb="1">
      <t>ア</t>
    </rPh>
    <rPh sb="3" eb="4">
      <t>ケイ</t>
    </rPh>
    <phoneticPr fontId="1"/>
  </si>
  <si>
    <t>前回比</t>
    <rPh sb="0" eb="3">
      <t>ゼンカイヒ</t>
    </rPh>
    <phoneticPr fontId="1"/>
  </si>
  <si>
    <t>1日</t>
    <rPh sb="1" eb="2">
      <t>ヒ</t>
    </rPh>
    <phoneticPr fontId="1"/>
  </si>
  <si>
    <t>2日</t>
    <rPh sb="1" eb="2">
      <t>ヒ</t>
    </rPh>
    <phoneticPr fontId="1"/>
  </si>
  <si>
    <t>3日</t>
    <rPh sb="1" eb="2">
      <t>ヒ</t>
    </rPh>
    <phoneticPr fontId="1"/>
  </si>
  <si>
    <t>4日</t>
    <rPh sb="1" eb="2">
      <t>ヒ</t>
    </rPh>
    <phoneticPr fontId="1"/>
  </si>
  <si>
    <t>5日</t>
    <rPh sb="1" eb="2">
      <t>ヒ</t>
    </rPh>
    <phoneticPr fontId="1"/>
  </si>
  <si>
    <t>6日</t>
    <rPh sb="1" eb="2">
      <t>ヒ</t>
    </rPh>
    <phoneticPr fontId="1"/>
  </si>
  <si>
    <t>7日</t>
    <rPh sb="1" eb="2">
      <t>ヒ</t>
    </rPh>
    <phoneticPr fontId="1"/>
  </si>
  <si>
    <t>8日</t>
    <rPh sb="1" eb="2">
      <t>ヒ</t>
    </rPh>
    <phoneticPr fontId="1"/>
  </si>
  <si>
    <t>9日</t>
    <rPh sb="1" eb="2">
      <t>ヒ</t>
    </rPh>
    <phoneticPr fontId="1"/>
  </si>
  <si>
    <t>10日</t>
    <rPh sb="2" eb="3">
      <t>ヒ</t>
    </rPh>
    <phoneticPr fontId="1"/>
  </si>
  <si>
    <t>11日</t>
    <rPh sb="2" eb="3">
      <t>ヒ</t>
    </rPh>
    <phoneticPr fontId="1"/>
  </si>
  <si>
    <t>12日</t>
    <rPh sb="2" eb="3">
      <t>ヒ</t>
    </rPh>
    <phoneticPr fontId="1"/>
  </si>
  <si>
    <t>13日</t>
    <rPh sb="2" eb="3">
      <t>ヒ</t>
    </rPh>
    <phoneticPr fontId="1"/>
  </si>
  <si>
    <t>14日</t>
    <rPh sb="2" eb="3">
      <t>ヒ</t>
    </rPh>
    <phoneticPr fontId="1"/>
  </si>
  <si>
    <t>15日</t>
    <rPh sb="2" eb="3">
      <t>ヒ</t>
    </rPh>
    <phoneticPr fontId="1"/>
  </si>
  <si>
    <t>16日</t>
    <rPh sb="2" eb="3">
      <t>ヒ</t>
    </rPh>
    <phoneticPr fontId="1"/>
  </si>
  <si>
    <t>17日</t>
    <rPh sb="2" eb="3">
      <t>ヒ</t>
    </rPh>
    <phoneticPr fontId="1"/>
  </si>
  <si>
    <t>18日</t>
    <rPh sb="2" eb="3">
      <t>ヒ</t>
    </rPh>
    <phoneticPr fontId="1"/>
  </si>
  <si>
    <t>19日</t>
    <rPh sb="2" eb="3">
      <t>ヒ</t>
    </rPh>
    <phoneticPr fontId="1"/>
  </si>
  <si>
    <t>20日</t>
    <rPh sb="2" eb="3">
      <t>ヒ</t>
    </rPh>
    <phoneticPr fontId="1"/>
  </si>
  <si>
    <t>21日</t>
    <rPh sb="2" eb="3">
      <t>ヒ</t>
    </rPh>
    <phoneticPr fontId="1"/>
  </si>
  <si>
    <t>22日</t>
    <rPh sb="2" eb="3">
      <t>ヒ</t>
    </rPh>
    <phoneticPr fontId="1"/>
  </si>
  <si>
    <t>23日</t>
    <rPh sb="2" eb="3">
      <t>ヒ</t>
    </rPh>
    <phoneticPr fontId="1"/>
  </si>
  <si>
    <t>24日</t>
    <rPh sb="2" eb="3">
      <t>ヒ</t>
    </rPh>
    <phoneticPr fontId="1"/>
  </si>
  <si>
    <t>25日</t>
    <rPh sb="2" eb="3">
      <t>ヒ</t>
    </rPh>
    <phoneticPr fontId="1"/>
  </si>
  <si>
    <t>26日</t>
    <rPh sb="2" eb="3">
      <t>ヒ</t>
    </rPh>
    <phoneticPr fontId="1"/>
  </si>
  <si>
    <t>27日</t>
    <rPh sb="2" eb="3">
      <t>ヒ</t>
    </rPh>
    <phoneticPr fontId="1"/>
  </si>
  <si>
    <t>28日</t>
    <rPh sb="2" eb="3">
      <t>ヒ</t>
    </rPh>
    <phoneticPr fontId="1"/>
  </si>
  <si>
    <t>29日</t>
    <rPh sb="2" eb="3">
      <t>ヒ</t>
    </rPh>
    <phoneticPr fontId="1"/>
  </si>
  <si>
    <t>30日</t>
    <rPh sb="2" eb="3">
      <t>ヒ</t>
    </rPh>
    <phoneticPr fontId="1"/>
  </si>
  <si>
    <t>31日</t>
    <rPh sb="2" eb="3">
      <t>ヒ</t>
    </rPh>
    <phoneticPr fontId="1"/>
  </si>
  <si>
    <t>計</t>
    <rPh sb="0" eb="1">
      <t>ケイ</t>
    </rPh>
    <phoneticPr fontId="1"/>
  </si>
  <si>
    <t>子牛売買価格速報</t>
    <rPh sb="0" eb="2">
      <t>コウシ</t>
    </rPh>
    <rPh sb="2" eb="4">
      <t>バイバイ</t>
    </rPh>
    <rPh sb="4" eb="6">
      <t>カカク</t>
    </rPh>
    <rPh sb="6" eb="8">
      <t>ソクホウ</t>
    </rPh>
    <phoneticPr fontId="1"/>
  </si>
  <si>
    <t>単位：頭、円</t>
    <rPh sb="0" eb="2">
      <t>タンイ</t>
    </rPh>
    <rPh sb="3" eb="4">
      <t>アタマ</t>
    </rPh>
    <rPh sb="5" eb="6">
      <t>エン</t>
    </rPh>
    <phoneticPr fontId="1"/>
  </si>
  <si>
    <t>（税込）</t>
    <rPh sb="1" eb="3">
      <t>ゼイコミ</t>
    </rPh>
    <phoneticPr fontId="1"/>
  </si>
  <si>
    <t>前月価格</t>
    <rPh sb="0" eb="2">
      <t>ゼンゲツ</t>
    </rPh>
    <rPh sb="2" eb="4">
      <t>カカク</t>
    </rPh>
    <phoneticPr fontId="1"/>
  </si>
  <si>
    <t>前月比</t>
    <rPh sb="0" eb="3">
      <t>ゼンゲツヒ</t>
    </rPh>
    <phoneticPr fontId="1"/>
  </si>
  <si>
    <t xml:space="preserve"> </t>
    <phoneticPr fontId="1"/>
  </si>
  <si>
    <t>2月</t>
  </si>
  <si>
    <t>3月</t>
  </si>
  <si>
    <t>4月</t>
  </si>
  <si>
    <t>5月</t>
  </si>
  <si>
    <t>6月</t>
  </si>
  <si>
    <t>7月</t>
  </si>
  <si>
    <t>8月</t>
  </si>
  <si>
    <t>9月</t>
  </si>
  <si>
    <t>10月</t>
  </si>
  <si>
    <t>11月</t>
  </si>
  <si>
    <t>12月</t>
  </si>
  <si>
    <t>　</t>
  </si>
  <si>
    <t>31日</t>
    <rPh sb="2" eb="3">
      <t>ヒ</t>
    </rPh>
    <phoneticPr fontId="1"/>
  </si>
  <si>
    <t>計</t>
    <rPh sb="0" eb="1">
      <t>ケイ</t>
    </rPh>
    <phoneticPr fontId="1"/>
  </si>
  <si>
    <t xml:space="preserve"> </t>
    <phoneticPr fontId="1"/>
  </si>
  <si>
    <t>　</t>
    <phoneticPr fontId="1"/>
  </si>
  <si>
    <t>計</t>
    <rPh sb="0" eb="1">
      <t>ケイ</t>
    </rPh>
    <phoneticPr fontId="1"/>
  </si>
  <si>
    <t xml:space="preserve"> </t>
    <phoneticPr fontId="1"/>
  </si>
  <si>
    <t xml:space="preserve"> </t>
    <phoneticPr fontId="1"/>
  </si>
  <si>
    <t>税込</t>
  </si>
  <si>
    <t>単位：円</t>
  </si>
  <si>
    <t>雌</t>
  </si>
  <si>
    <t>合計</t>
  </si>
  <si>
    <t>平成26年4月より消費税率 8％となってます。</t>
  </si>
  <si>
    <t>子牛売買価格の推移</t>
  </si>
  <si>
    <t>27.1月</t>
    <rPh sb="4" eb="5">
      <t>ガツ</t>
    </rPh>
    <phoneticPr fontId="1"/>
  </si>
  <si>
    <t>24.1月</t>
    <rPh sb="4" eb="5">
      <t>ガツ</t>
    </rPh>
    <phoneticPr fontId="1"/>
  </si>
  <si>
    <t>25.1月</t>
    <rPh sb="4" eb="5">
      <t>ガツ</t>
    </rPh>
    <phoneticPr fontId="1"/>
  </si>
  <si>
    <t>26.1月</t>
    <rPh sb="4" eb="5">
      <t>ガツ</t>
    </rPh>
    <phoneticPr fontId="1"/>
  </si>
  <si>
    <t>28.1月</t>
    <rPh sb="4" eb="5">
      <t>ガツ</t>
    </rPh>
    <phoneticPr fontId="1"/>
  </si>
  <si>
    <t>前年価格</t>
    <rPh sb="0" eb="2">
      <t>ゼンネン</t>
    </rPh>
    <rPh sb="2" eb="4">
      <t>カカク</t>
    </rPh>
    <phoneticPr fontId="1"/>
  </si>
  <si>
    <t>前年比</t>
    <rPh sb="0" eb="3">
      <t>ゼンネンヒ</t>
    </rPh>
    <phoneticPr fontId="1"/>
  </si>
  <si>
    <t>計</t>
    <rPh sb="0" eb="1">
      <t>ケイ</t>
    </rPh>
    <phoneticPr fontId="1"/>
  </si>
  <si>
    <t xml:space="preserve"> </t>
    <phoneticPr fontId="1"/>
  </si>
  <si>
    <t>市場名　　　</t>
    <rPh sb="0" eb="2">
      <t>シジョウ</t>
    </rPh>
    <rPh sb="2" eb="3">
      <t>ナ</t>
    </rPh>
    <phoneticPr fontId="1"/>
  </si>
  <si>
    <t>計</t>
    <rPh sb="0" eb="1">
      <t>ケイ</t>
    </rPh>
    <phoneticPr fontId="1"/>
  </si>
  <si>
    <t>元旦</t>
    <rPh sb="0" eb="2">
      <t>ガンタン</t>
    </rPh>
    <phoneticPr fontId="1"/>
  </si>
  <si>
    <t>め　　す</t>
    <phoneticPr fontId="1"/>
  </si>
  <si>
    <t>29.1月</t>
    <rPh sb="4" eb="5">
      <t>ガツ</t>
    </rPh>
    <phoneticPr fontId="1"/>
  </si>
  <si>
    <t>2月</t>
    <rPh sb="1" eb="2">
      <t>ガツ</t>
    </rPh>
    <phoneticPr fontId="1"/>
  </si>
  <si>
    <t>6日</t>
    <rPh sb="1" eb="2">
      <t>ニチ</t>
    </rPh>
    <phoneticPr fontId="1"/>
  </si>
  <si>
    <t>8日</t>
    <rPh sb="1" eb="2">
      <t>ニチ</t>
    </rPh>
    <phoneticPr fontId="1"/>
  </si>
  <si>
    <t>10日</t>
    <rPh sb="2" eb="3">
      <t>ニチ</t>
    </rPh>
    <phoneticPr fontId="1"/>
  </si>
  <si>
    <t>30.1月</t>
    <rPh sb="4" eb="5">
      <t>ガツ</t>
    </rPh>
    <phoneticPr fontId="1"/>
  </si>
  <si>
    <t>3日</t>
    <rPh sb="1" eb="2">
      <t>ニチ</t>
    </rPh>
    <phoneticPr fontId="1"/>
  </si>
  <si>
    <t>4日</t>
    <rPh sb="1" eb="2">
      <t>ニチ</t>
    </rPh>
    <phoneticPr fontId="1"/>
  </si>
  <si>
    <t>5日</t>
    <rPh sb="1" eb="2">
      <t>ニチ</t>
    </rPh>
    <phoneticPr fontId="1"/>
  </si>
  <si>
    <t>7日</t>
    <rPh sb="1" eb="2">
      <t>ニチ</t>
    </rPh>
    <phoneticPr fontId="1"/>
  </si>
  <si>
    <t>9日</t>
    <rPh sb="1" eb="2">
      <t>ニチ</t>
    </rPh>
    <phoneticPr fontId="1"/>
  </si>
  <si>
    <t>め　　す</t>
    <phoneticPr fontId="1"/>
  </si>
  <si>
    <t>（税抜）</t>
    <rPh sb="1" eb="2">
      <t>ゼイ</t>
    </rPh>
    <rPh sb="2" eb="3">
      <t>ヌ</t>
    </rPh>
    <phoneticPr fontId="1"/>
  </si>
  <si>
    <t>当月価格</t>
    <rPh sb="0" eb="2">
      <t>トウゲツ</t>
    </rPh>
    <rPh sb="2" eb="4">
      <t>カカク</t>
    </rPh>
    <phoneticPr fontId="1"/>
  </si>
  <si>
    <t>項目</t>
    <rPh sb="0" eb="2">
      <t>コウモク</t>
    </rPh>
    <phoneticPr fontId="1"/>
  </si>
  <si>
    <t>前月比（税込）</t>
    <rPh sb="0" eb="3">
      <t>ゼンゲツヒ</t>
    </rPh>
    <rPh sb="4" eb="5">
      <t>ゼイ</t>
    </rPh>
    <rPh sb="5" eb="6">
      <t>コ</t>
    </rPh>
    <phoneticPr fontId="1"/>
  </si>
  <si>
    <t>前年比（税込）</t>
    <rPh sb="0" eb="3">
      <t>ゼンネンヒ</t>
    </rPh>
    <rPh sb="4" eb="5">
      <t>ゼイ</t>
    </rPh>
    <rPh sb="5" eb="6">
      <t>コ</t>
    </rPh>
    <phoneticPr fontId="1"/>
  </si>
  <si>
    <t>R2.1月</t>
    <rPh sb="4" eb="5">
      <t>ガツ</t>
    </rPh>
    <phoneticPr fontId="1"/>
  </si>
  <si>
    <t>（税抜）</t>
    <rPh sb="1" eb="2">
      <t>ゼイ</t>
    </rPh>
    <rPh sb="2" eb="3">
      <t>ヌ</t>
    </rPh>
    <phoneticPr fontId="1"/>
  </si>
  <si>
    <t>（税抜き）</t>
    <rPh sb="1" eb="2">
      <t>ゼイ</t>
    </rPh>
    <rPh sb="2" eb="3">
      <t>ヌ</t>
    </rPh>
    <phoneticPr fontId="1"/>
  </si>
  <si>
    <t>（税抜）</t>
    <rPh sb="1" eb="2">
      <t>ゼイ</t>
    </rPh>
    <rPh sb="2" eb="3">
      <t>ヌ</t>
    </rPh>
    <phoneticPr fontId="1"/>
  </si>
  <si>
    <t>肉用子牛生産者補給金制度
保証基準価格</t>
    <rPh sb="0" eb="2">
      <t>ニクヨウ</t>
    </rPh>
    <rPh sb="2" eb="4">
      <t>コウシ</t>
    </rPh>
    <rPh sb="4" eb="7">
      <t>セイサンシャ</t>
    </rPh>
    <rPh sb="7" eb="10">
      <t>ホキュウキン</t>
    </rPh>
    <rPh sb="10" eb="12">
      <t>セイド</t>
    </rPh>
    <rPh sb="13" eb="15">
      <t>ホショウ</t>
    </rPh>
    <rPh sb="15" eb="17">
      <t>キジュン</t>
    </rPh>
    <rPh sb="17" eb="19">
      <t>カカク</t>
    </rPh>
    <phoneticPr fontId="1"/>
  </si>
  <si>
    <t>　</t>
    <phoneticPr fontId="1"/>
  </si>
  <si>
    <t>去勢</t>
    <phoneticPr fontId="1"/>
  </si>
  <si>
    <t>(税抜）</t>
    <rPh sb="1" eb="3">
      <t>ゼイヌキ</t>
    </rPh>
    <phoneticPr fontId="1"/>
  </si>
  <si>
    <t>R3.1月</t>
    <rPh sb="4" eb="5">
      <t>ガツ</t>
    </rPh>
    <phoneticPr fontId="1"/>
  </si>
  <si>
    <t>31日</t>
    <rPh sb="2" eb="3">
      <t>ニチ</t>
    </rPh>
    <phoneticPr fontId="1"/>
  </si>
  <si>
    <t>1日</t>
    <rPh sb="1" eb="2">
      <t>ニチ</t>
    </rPh>
    <phoneticPr fontId="1"/>
  </si>
  <si>
    <t>2日</t>
    <rPh sb="1" eb="2">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</si>
  <si>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</si>
  <si>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</si>
  <si>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</si>
  <si>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</si>
  <si>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</si>
  <si>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</si>
  <si>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17日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</si>
  <si>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</si>
  <si>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</si>
  <si>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</si>
  <si>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</si>
  <si>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</si>
  <si>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</si>
  <si>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</si>
  <si>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</si>
  <si>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</si>
  <si>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</si>
  <si>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</si>
  <si>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</si>
  <si>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</si>
  <si>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30日</t>
    <rPh sb="2" eb="3">
      <t>ニチ</t>
    </rPh>
    <phoneticPr fontId="1"/>
  </si>
  <si>
    <t>22日</t>
    <rPh sb="2" eb="3">
      <t>ニチ</t>
    </rPh>
    <phoneticPr fontId="1"/>
  </si>
  <si>
    <t>29日</t>
    <rPh sb="2" eb="3">
      <t>ニチ</t>
    </rPh>
    <phoneticPr fontId="1"/>
  </si>
  <si>
    <t>（税抜）</t>
    <rPh sb="1" eb="3">
      <t>ゼイヌキ</t>
    </rPh>
    <phoneticPr fontId="1"/>
  </si>
  <si>
    <t>(税抜）</t>
    <rPh sb="1" eb="3">
      <t>ゼイヌキ</t>
    </rPh>
    <phoneticPr fontId="1"/>
  </si>
  <si>
    <t>R4.1月</t>
    <rPh sb="4" eb="5">
      <t>ガツ</t>
    </rPh>
    <phoneticPr fontId="1"/>
  </si>
  <si>
    <t>　※保証基準価格は全国にある指定市場で取引のあった指定肉用子牛の平均売買価格に対する基準価格であり、県内セリ結果とは直結しません。参考値として表示しております。</t>
    <rPh sb="2" eb="4">
      <t>ホショウ</t>
    </rPh>
    <rPh sb="4" eb="6">
      <t>キジュン</t>
    </rPh>
    <rPh sb="6" eb="8">
      <t>カカク</t>
    </rPh>
    <rPh sb="9" eb="11">
      <t>ゼンコク</t>
    </rPh>
    <rPh sb="14" eb="16">
      <t>シテイ</t>
    </rPh>
    <rPh sb="16" eb="18">
      <t>シジョウ</t>
    </rPh>
    <rPh sb="19" eb="21">
      <t>トリヒキ</t>
    </rPh>
    <rPh sb="25" eb="27">
      <t>シテイ</t>
    </rPh>
    <rPh sb="27" eb="29">
      <t>ニクヨウ</t>
    </rPh>
    <rPh sb="29" eb="31">
      <t>コウシ</t>
    </rPh>
    <rPh sb="32" eb="34">
      <t>ヘイキン</t>
    </rPh>
    <rPh sb="34" eb="36">
      <t>バイバイ</t>
    </rPh>
    <rPh sb="36" eb="38">
      <t>カカク</t>
    </rPh>
    <rPh sb="39" eb="40">
      <t>タイ</t>
    </rPh>
    <rPh sb="42" eb="44">
      <t>キジュン</t>
    </rPh>
    <rPh sb="44" eb="46">
      <t>カカク</t>
    </rPh>
    <rPh sb="50" eb="52">
      <t>ケンナイ</t>
    </rPh>
    <rPh sb="54" eb="56">
      <t>ケッカ</t>
    </rPh>
    <rPh sb="58" eb="60">
      <t>チョッケツ</t>
    </rPh>
    <rPh sb="65" eb="67">
      <t>サンコウ</t>
    </rPh>
    <rPh sb="67" eb="68">
      <t>アタイ</t>
    </rPh>
    <rPh sb="71" eb="73">
      <t>ヒョウジ</t>
    </rPh>
    <phoneticPr fontId="1"/>
  </si>
  <si>
    <t xml:space="preserve"> </t>
    <phoneticPr fontId="1"/>
  </si>
  <si>
    <t>R5.1月</t>
    <rPh sb="4" eb="5">
      <t>ガツ</t>
    </rPh>
    <phoneticPr fontId="1"/>
  </si>
  <si>
    <t>R6.1月</t>
    <rPh sb="4" eb="5">
      <t>ガツ</t>
    </rPh>
    <phoneticPr fontId="1"/>
  </si>
  <si>
    <t>R4年平均</t>
    <rPh sb="2" eb="3">
      <t>ネン</t>
    </rPh>
    <rPh sb="3" eb="5">
      <t>ヘイキン</t>
    </rPh>
    <phoneticPr fontId="1"/>
  </si>
  <si>
    <t>R5年平均</t>
    <rPh sb="2" eb="3">
      <t>ネン</t>
    </rPh>
    <rPh sb="3" eb="5">
      <t>ヘイキン</t>
    </rPh>
    <phoneticPr fontId="1"/>
  </si>
  <si>
    <t>R6年平均</t>
    <rPh sb="2" eb="3">
      <t>ネン</t>
    </rPh>
    <rPh sb="3" eb="5">
      <t>ヘイキン</t>
    </rPh>
    <phoneticPr fontId="1"/>
  </si>
  <si>
    <t>R7.1月</t>
    <rPh sb="4" eb="5">
      <t>ガツ</t>
    </rPh>
    <phoneticPr fontId="1"/>
  </si>
  <si>
    <t>価格</t>
    <rPh sb="0" eb="2">
      <t>カカク</t>
    </rPh>
    <phoneticPr fontId="1"/>
  </si>
  <si>
    <t>令和8年1月</t>
    <rPh sb="5" eb="6">
      <t>ガツ</t>
    </rPh>
    <phoneticPr fontId="1"/>
  </si>
  <si>
    <t>令和8年2月</t>
    <rPh sb="5" eb="6">
      <t>ガツ</t>
    </rPh>
    <phoneticPr fontId="1"/>
  </si>
  <si>
    <t>令和8年3月</t>
    <rPh sb="5" eb="6">
      <t>ガツ</t>
    </rPh>
    <phoneticPr fontId="1"/>
  </si>
  <si>
    <t>令和8年4月</t>
    <rPh sb="5" eb="6">
      <t>ガツ</t>
    </rPh>
    <phoneticPr fontId="1"/>
  </si>
  <si>
    <t>令和8年5月</t>
    <rPh sb="5" eb="6">
      <t>ガツ</t>
    </rPh>
    <phoneticPr fontId="1"/>
  </si>
  <si>
    <t>令和8年6月</t>
    <rPh sb="5" eb="6">
      <t>ガツ</t>
    </rPh>
    <phoneticPr fontId="1"/>
  </si>
  <si>
    <t>令和8年7月</t>
    <rPh sb="5" eb="6">
      <t>ガツ</t>
    </rPh>
    <phoneticPr fontId="1"/>
  </si>
  <si>
    <t>令和8年8月</t>
    <rPh sb="5" eb="6">
      <t>ガツ</t>
    </rPh>
    <phoneticPr fontId="1"/>
  </si>
  <si>
    <t>令和8年9月</t>
    <rPh sb="5" eb="6">
      <t>ガツ</t>
    </rPh>
    <phoneticPr fontId="1"/>
  </si>
  <si>
    <t>令和8年10月</t>
    <rPh sb="6" eb="7">
      <t>ガツ</t>
    </rPh>
    <phoneticPr fontId="1"/>
  </si>
  <si>
    <t>令和8年11月</t>
    <rPh sb="6" eb="7">
      <t>ガツ</t>
    </rPh>
    <phoneticPr fontId="1"/>
  </si>
  <si>
    <t>令和8年12月</t>
    <rPh sb="6" eb="7">
      <t>ガツ</t>
    </rPh>
    <phoneticPr fontId="1"/>
  </si>
  <si>
    <t>※雄は去勢に含む</t>
    <rPh sb="1" eb="2">
      <t>オス</t>
    </rPh>
    <rPh sb="3" eb="5">
      <t>キョセイ</t>
    </rPh>
    <rPh sb="6" eb="7">
      <t>フク</t>
    </rPh>
    <phoneticPr fontId="1"/>
  </si>
  <si>
    <t>R7年平均</t>
    <rPh sb="2" eb="3">
      <t>ネン</t>
    </rPh>
    <rPh sb="3" eb="5">
      <t>ヘイキン</t>
    </rPh>
    <phoneticPr fontId="1"/>
  </si>
  <si>
    <t>与論（400）</t>
  </si>
  <si>
    <t>沖永良部（240）</t>
  </si>
  <si>
    <t>沖永良部（160）</t>
  </si>
  <si>
    <t>徳之島（400）</t>
  </si>
  <si>
    <t>徳之島（250）</t>
  </si>
  <si>
    <t>奄美大島（190）</t>
  </si>
  <si>
    <t>喜界（200）</t>
  </si>
  <si>
    <t>成人の日</t>
    <rPh sb="0" eb="2">
      <t>セイジン</t>
    </rPh>
    <rPh sb="3" eb="4">
      <t>ヒ</t>
    </rPh>
    <phoneticPr fontId="3"/>
  </si>
  <si>
    <t>薩摩（280）</t>
  </si>
  <si>
    <t>姶良（280）</t>
  </si>
  <si>
    <t>種子島（420）</t>
  </si>
  <si>
    <t>鹿中央（350）</t>
  </si>
  <si>
    <t>肝属（450）</t>
  </si>
  <si>
    <t>肝属（400）</t>
  </si>
  <si>
    <t>指宿（250）</t>
  </si>
  <si>
    <t>曽於（420）</t>
  </si>
  <si>
    <t>出水（350）</t>
  </si>
  <si>
    <t>建国記念の日</t>
    <rPh sb="0" eb="2">
      <t>ケンコク</t>
    </rPh>
    <rPh sb="2" eb="4">
      <t>キネン</t>
    </rPh>
    <rPh sb="5" eb="6">
      <t>ヒ</t>
    </rPh>
    <phoneticPr fontId="3"/>
  </si>
  <si>
    <r>
      <t>天皇誕生日　　　　　　　　　　　</t>
    </r>
    <r>
      <rPr>
        <sz val="9"/>
        <rFont val="ＭＳ Ｐ明朝"/>
        <family val="1"/>
        <charset val="128"/>
      </rPr>
      <t>曽於（420）</t>
    </r>
    <rPh sb="0" eb="2">
      <t>テンノウ</t>
    </rPh>
    <rPh sb="2" eb="5">
      <t>タンジョウビ</t>
    </rPh>
    <phoneticPr fontId="3"/>
  </si>
  <si>
    <t>与論（420）</t>
  </si>
  <si>
    <t>奄美大島（180）</t>
  </si>
  <si>
    <t>喜界（190）</t>
  </si>
  <si>
    <t>春分の日</t>
    <rPh sb="0" eb="2">
      <t>シュンブン</t>
    </rPh>
    <rPh sb="3" eb="4">
      <t>ヒ</t>
    </rPh>
    <phoneticPr fontId="3"/>
  </si>
  <si>
    <t xml:space="preserve">   (  )内は予定頭数</t>
    <rPh sb="7" eb="8">
      <t>ナイ</t>
    </rPh>
    <rPh sb="9" eb="11">
      <t>ヨテイ</t>
    </rPh>
    <rPh sb="11" eb="13">
      <t>トウスウ</t>
    </rPh>
    <phoneticPr fontId="1"/>
  </si>
  <si>
    <t>出水（350）</t>
    <rPh sb="0" eb="2">
      <t>イズミ</t>
    </rPh>
    <phoneticPr fontId="3"/>
  </si>
  <si>
    <t>徳之島（400）</t>
    <rPh sb="0" eb="3">
      <t>トクノシマ</t>
    </rPh>
    <phoneticPr fontId="3"/>
  </si>
  <si>
    <t>徳之島（200）</t>
    <rPh sb="0" eb="3">
      <t>トクノシマ</t>
    </rPh>
    <phoneticPr fontId="3"/>
  </si>
  <si>
    <t>鹿中央（380）</t>
    <rPh sb="0" eb="1">
      <t>カ</t>
    </rPh>
    <rPh sb="1" eb="3">
      <t>チュウオウ</t>
    </rPh>
    <phoneticPr fontId="3"/>
  </si>
  <si>
    <t>薩摩（280）</t>
    <rPh sb="0" eb="2">
      <t>サツマ</t>
    </rPh>
    <phoneticPr fontId="3"/>
  </si>
  <si>
    <t>姶良（280）</t>
    <rPh sb="0" eb="2">
      <t>アイラ</t>
    </rPh>
    <phoneticPr fontId="3"/>
  </si>
  <si>
    <t>肝属（450）</t>
    <rPh sb="0" eb="2">
      <t>キモツキ</t>
    </rPh>
    <phoneticPr fontId="3"/>
  </si>
  <si>
    <t>肝属（400）</t>
    <rPh sb="0" eb="2">
      <t>キモツキ</t>
    </rPh>
    <phoneticPr fontId="3"/>
  </si>
  <si>
    <t>種子島（420）</t>
    <rPh sb="0" eb="3">
      <t>タネガシマ</t>
    </rPh>
    <phoneticPr fontId="3"/>
  </si>
  <si>
    <t>曽於（420）</t>
    <rPh sb="0" eb="2">
      <t>ソオ</t>
    </rPh>
    <phoneticPr fontId="3"/>
  </si>
  <si>
    <t>昭和の日</t>
    <rPh sb="0" eb="2">
      <t>ショウワ</t>
    </rPh>
    <rPh sb="3" eb="4">
      <t>ヒ</t>
    </rPh>
    <phoneticPr fontId="3"/>
  </si>
  <si>
    <t>憲法記念日</t>
    <rPh sb="0" eb="5">
      <t>ケンポウキネンビ</t>
    </rPh>
    <phoneticPr fontId="3"/>
  </si>
  <si>
    <t>みどりの日</t>
    <rPh sb="4" eb="5">
      <t>ヒ</t>
    </rPh>
    <phoneticPr fontId="3"/>
  </si>
  <si>
    <t>こどもの日</t>
    <rPh sb="4" eb="5">
      <t>ヒ</t>
    </rPh>
    <phoneticPr fontId="3"/>
  </si>
  <si>
    <t>与論（380）</t>
    <rPh sb="0" eb="2">
      <t>ヨロン</t>
    </rPh>
    <phoneticPr fontId="3"/>
  </si>
  <si>
    <t>沖永良部（240）</t>
    <rPh sb="0" eb="4">
      <t>オキノエラブ</t>
    </rPh>
    <phoneticPr fontId="3"/>
  </si>
  <si>
    <t>沖永良部（160）</t>
    <rPh sb="0" eb="4">
      <t>オキノエラブ</t>
    </rPh>
    <phoneticPr fontId="3"/>
  </si>
  <si>
    <t>徳之島（250）</t>
    <rPh sb="0" eb="3">
      <t>トクノシマ</t>
    </rPh>
    <phoneticPr fontId="3"/>
  </si>
  <si>
    <t>指宿（250）</t>
    <rPh sb="0" eb="2">
      <t>イブスキ</t>
    </rPh>
    <phoneticPr fontId="3"/>
  </si>
  <si>
    <t xml:space="preserve">振替休日   </t>
    <rPh sb="0" eb="4">
      <t>フリカエキュウジツ</t>
    </rPh>
    <phoneticPr fontId="3"/>
  </si>
  <si>
    <t>鹿中央（350）</t>
    <rPh sb="0" eb="1">
      <t>カ</t>
    </rPh>
    <rPh sb="1" eb="3">
      <t>チュウオウ</t>
    </rPh>
    <phoneticPr fontId="3"/>
  </si>
  <si>
    <t>与論（370）</t>
  </si>
  <si>
    <t>徳之島（200）</t>
  </si>
  <si>
    <t>海の日</t>
    <rPh sb="0" eb="1">
      <t>ウミ</t>
    </rPh>
    <rPh sb="2" eb="3">
      <t>ヒ</t>
    </rPh>
    <phoneticPr fontId="3"/>
  </si>
  <si>
    <t>山の日</t>
    <rPh sb="0" eb="1">
      <t>ヤマ</t>
    </rPh>
    <rPh sb="2" eb="3">
      <t>ヒ</t>
    </rPh>
    <phoneticPr fontId="3"/>
  </si>
  <si>
    <t>与論（360）</t>
  </si>
  <si>
    <t>奄美大島（180）
喜界（190）</t>
  </si>
  <si>
    <t>敬老の日</t>
    <rPh sb="0" eb="2">
      <t>ケイロウ</t>
    </rPh>
    <rPh sb="3" eb="4">
      <t>ヒ</t>
    </rPh>
    <phoneticPr fontId="3"/>
  </si>
  <si>
    <t>国民の休日</t>
    <rPh sb="0" eb="2">
      <t>コクミン</t>
    </rPh>
    <rPh sb="3" eb="5">
      <t>キュウジツ</t>
    </rPh>
    <phoneticPr fontId="3"/>
  </si>
  <si>
    <t>秋分の日</t>
    <rPh sb="0" eb="2">
      <t>シュウブン</t>
    </rPh>
    <rPh sb="3" eb="4">
      <t>ヒ</t>
    </rPh>
    <phoneticPr fontId="3"/>
  </si>
  <si>
    <t>徳之島（250）</t>
    <rPh sb="0" eb="3">
      <t>トクノシマ</t>
    </rPh>
    <phoneticPr fontId="1"/>
  </si>
  <si>
    <t xml:space="preserve">九州管内系統和牛枝肉共励会
</t>
    <phoneticPr fontId="1"/>
  </si>
  <si>
    <t>県畜産共進会（予定）</t>
  </si>
  <si>
    <t>スポーツの日</t>
    <rPh sb="5" eb="6">
      <t>ヒ</t>
    </rPh>
    <phoneticPr fontId="3"/>
  </si>
  <si>
    <t>喜界（210）</t>
  </si>
  <si>
    <t>県枝肉共進会（予定）</t>
    <rPh sb="7" eb="9">
      <t>ヨテイ</t>
    </rPh>
    <phoneticPr fontId="3"/>
  </si>
  <si>
    <t>勤労感謝の日</t>
    <rPh sb="0" eb="4">
      <t>キンロウカンシャ</t>
    </rPh>
    <rPh sb="5" eb="6">
      <t>ヒ</t>
    </rPh>
    <phoneticPr fontId="3"/>
  </si>
  <si>
    <t>沖永良部（240）</t>
    <phoneticPr fontId="1"/>
  </si>
  <si>
    <t>あまみ計</t>
    <rPh sb="3" eb="4">
      <t>ケイ</t>
    </rPh>
    <phoneticPr fontId="1"/>
  </si>
  <si>
    <t>そお計</t>
    <rPh sb="2" eb="3">
      <t>ケイ</t>
    </rPh>
    <phoneticPr fontId="1"/>
  </si>
  <si>
    <t>きもつき計</t>
    <rPh sb="4" eb="5">
      <t>ケイ</t>
    </rPh>
    <phoneticPr fontId="1"/>
  </si>
  <si>
    <t>R8.1月</t>
    <phoneticPr fontId="1"/>
  </si>
  <si>
    <t>沖永良部：フェリー欠航により4日のみ開催へ変更</t>
    <rPh sb="0" eb="4">
      <t>オキノエラブ</t>
    </rPh>
    <rPh sb="9" eb="11">
      <t>ケッコウ</t>
    </rPh>
    <rPh sb="15" eb="16">
      <t>ヒ</t>
    </rPh>
    <rPh sb="18" eb="20">
      <t>カイサイ</t>
    </rPh>
    <rPh sb="21" eb="23">
      <t>ヘンコウ</t>
    </rPh>
    <phoneticPr fontId="1"/>
  </si>
  <si>
    <t>奄美大島（190）</t>
    <rPh sb="0" eb="2">
      <t>アマミ</t>
    </rPh>
    <rPh sb="2" eb="4">
      <t>オオシマ</t>
    </rPh>
    <phoneticPr fontId="3"/>
  </si>
  <si>
    <t>喜界（190）</t>
    <rPh sb="0" eb="2">
      <t>キカイ</t>
    </rPh>
    <phoneticPr fontId="3"/>
  </si>
  <si>
    <t>徳之島市場、台風6号影響により延期(1-2日⇒4-5日⇒13-14日)</t>
    <rPh sb="0" eb="3">
      <t>トクノシマ</t>
    </rPh>
    <rPh sb="3" eb="5">
      <t>シジョウ</t>
    </rPh>
    <rPh sb="6" eb="8">
      <t>タイフウ</t>
    </rPh>
    <rPh sb="9" eb="10">
      <t>ゴウ</t>
    </rPh>
    <rPh sb="10" eb="12">
      <t>エイキョウ</t>
    </rPh>
    <rPh sb="15" eb="17">
      <t>エンキ</t>
    </rPh>
    <rPh sb="21" eb="22">
      <t>ヒ</t>
    </rPh>
    <rPh sb="26" eb="27">
      <t>ヒ</t>
    </rPh>
    <rPh sb="33" eb="34">
      <t>ヒ</t>
    </rPh>
    <phoneticPr fontId="1"/>
  </si>
  <si>
    <t>奄美大島（180）</t>
    <phoneticPr fontId="1"/>
  </si>
  <si>
    <t>喜界（200）</t>
    <phoneticPr fontId="1"/>
  </si>
  <si>
    <t>月</t>
    <rPh sb="0" eb="1">
      <t>ガツ</t>
    </rPh>
    <phoneticPr fontId="1"/>
  </si>
  <si>
    <t>沖永良部（400）</t>
    <rPh sb="0" eb="4">
      <t>オキノエラブ</t>
    </rPh>
    <phoneticPr fontId="1"/>
  </si>
  <si>
    <t>沖永良部家畜市場 台風の影響により2日・3日→13日に変更</t>
    <rPh sb="0" eb="4">
      <t>オキノエラブ</t>
    </rPh>
    <rPh sb="4" eb="6">
      <t>カチク</t>
    </rPh>
    <rPh sb="6" eb="8">
      <t>イチバ</t>
    </rPh>
    <rPh sb="9" eb="11">
      <t>タイフウ</t>
    </rPh>
    <rPh sb="12" eb="14">
      <t>エイキョウ</t>
    </rPh>
    <rPh sb="18" eb="19">
      <t>ニチ</t>
    </rPh>
    <rPh sb="21" eb="22">
      <t>ニチ</t>
    </rPh>
    <rPh sb="25" eb="26">
      <t>ニチ</t>
    </rPh>
    <rPh sb="27" eb="29">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</si>
</sst>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aaa"/>
  </numFmts>
  <fonts count="3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0"/>
      <color rgb="FFFF0000"/>
      <name val="ＭＳ Ｐゴシック"/>
      <family val="3"/>
      <charset val="128"/>
      <scheme val="minor"/>
    </font>
    <font>
      <sz val="10"/>
      <name val="ＭＳ Ｐゴシック"/>
      <family val="3"/>
      <charset val="128"/>
      <scheme val="major"/>
    </font>
    <font>
      <sz val="10"/>
      <color theme="1"/>
      <name val="ＭＳ Ｐゴシック"/>
      <family val="3"/>
      <charset val="128"/>
      <scheme val="major"/>
    </font>
    <font>
      <sz val="10"/>
      <color rgb="FFFF0000"/>
      <name val="ＭＳ Ｐゴシック"/>
      <family val="3"/>
      <charset val="128"/>
      <scheme val="major"/>
    </font>
    <font>
      <sz val="10"/>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b/>
      <sz val="12"/>
      <color theme="1"/>
      <name val="ＭＳ Ｐゴシック"/>
      <family val="3"/>
      <charset val="128"/>
      <scheme val="major"/>
    </font>
    <font>
      <sz val="12"/>
      <name val="ＭＳ Ｐゴシック"/>
      <family val="3"/>
      <charset val="128"/>
      <scheme val="major"/>
    </font>
    <font>
      <b/>
      <sz val="12"/>
      <name val="ＭＳ Ｐゴシック"/>
      <family val="3"/>
      <charset val="128"/>
      <scheme val="major"/>
    </font>
    <font>
      <sz val="12"/>
      <color theme="1"/>
      <name val="ＭＳ Ｐゴシック"/>
      <family val="3"/>
      <charset val="128"/>
      <scheme val="minor"/>
    </font>
    <font>
      <b/>
      <sz val="12"/>
      <color theme="1"/>
      <name val="ＭＳ Ｐゴシック"/>
      <family val="3"/>
      <charset val="128"/>
      <scheme val="minor"/>
    </font>
    <font>
      <b/>
      <sz val="12"/>
      <name val="ＭＳ Ｐゴシック"/>
      <family val="3"/>
      <charset val="128"/>
      <scheme val="minor"/>
    </font>
    <font>
      <b/>
      <sz val="12"/>
      <color rgb="FFFF0000"/>
      <name val="ＭＳ Ｐゴシック"/>
      <family val="3"/>
      <charset val="128"/>
      <scheme val="minor"/>
    </font>
    <font>
      <sz val="14"/>
      <color theme="1"/>
      <name val="ＭＳ Ｐゴシック"/>
      <family val="2"/>
      <charset val="128"/>
      <scheme val="minor"/>
    </font>
    <font>
      <sz val="9"/>
      <name val="ＭＳ Ｐゴシック"/>
      <family val="3"/>
      <charset val="128"/>
      <scheme val="minor"/>
    </font>
    <font>
      <sz val="9"/>
      <name val="ＭＳ Ｐ明朝"/>
      <family val="1"/>
      <charset val="128"/>
    </font>
    <font>
      <b/>
      <sz val="10"/>
      <color rgb="FF191919"/>
      <name val="Arial"/>
      <family val="2"/>
    </font>
    <font>
      <b/>
      <sz val="10"/>
      <color theme="1"/>
      <name val="ＭＳ Ｐゴシック"/>
      <family val="3"/>
      <charset val="128"/>
      <scheme val="minor"/>
    </font>
    <font>
      <sz val="11"/>
      <color theme="1"/>
      <name val="ＭＳ Ｐゴシック"/>
      <family val="3"/>
      <charset val="128"/>
      <scheme val="minor"/>
    </font>
    <font>
      <b/>
      <sz val="10"/>
      <name val="ＭＳ Ｐゴシック"/>
      <family val="3"/>
      <charset val="128"/>
      <scheme val="major"/>
    </font>
    <font>
      <sz val="9"/>
      <name val="ＭＳ Ｐゴシック"/>
      <family val="3"/>
      <charset val="128"/>
      <scheme val="major"/>
    </font>
    <font>
      <sz val="9"/>
      <color rgb="FFFF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1"/>
      <name val="ＭＳ Ｐゴシック"/>
      <family val="3"/>
      <charset val="128"/>
      <scheme val="major"/>
    </font>
    <font>
      <b/>
      <sz val="13"/>
      <name val="ＭＳ Ｐゴシック"/>
      <family val="3"/>
      <charset val="128"/>
      <scheme val="major"/>
    </font>
    <font>
      <sz val="9"/>
      <color rgb="FFFF0000"/>
      <name val="ＭＳ Ｐ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auto="1"/>
      </left>
      <right style="thin">
        <color indexed="64"/>
      </right>
      <top/>
      <bottom style="hair">
        <color indexed="64"/>
      </bottom>
      <diagonal/>
    </border>
    <border>
      <left style="thin">
        <color indexed="64"/>
      </left>
      <right style="double">
        <color auto="1"/>
      </right>
      <top/>
      <bottom style="hair">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59">
    <xf numFmtId="0" fontId="0" fillId="0" borderId="0" xfId="0">
      <alignment vertical="center"/>
    </xf>
    <xf numFmtId="38" fontId="0" fillId="0" borderId="0" xfId="1" applyFont="1">
      <alignment vertical="center"/>
    </xf>
    <xf numFmtId="38" fontId="0" fillId="0" borderId="1" xfId="1" applyFont="1" applyBorder="1">
      <alignment vertical="center"/>
    </xf>
    <xf numFmtId="0" fontId="4" fillId="0" borderId="0" xfId="0" applyFont="1">
      <alignment vertical="center"/>
    </xf>
    <xf numFmtId="38" fontId="0" fillId="0" borderId="1" xfId="1"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3" fontId="0" fillId="0" borderId="1" xfId="0" applyNumberFormat="1" applyBorder="1">
      <alignment vertical="center"/>
    </xf>
    <xf numFmtId="38" fontId="0" fillId="0" borderId="1" xfId="0" applyNumberFormat="1" applyBorder="1">
      <alignment vertical="center"/>
    </xf>
    <xf numFmtId="0" fontId="6" fillId="0" borderId="0" xfId="0" applyFont="1" applyAlignment="1">
      <alignment horizontal="center" vertical="center"/>
    </xf>
    <xf numFmtId="38" fontId="6" fillId="0" borderId="0" xfId="1" applyFont="1" applyFill="1">
      <alignment vertical="center"/>
    </xf>
    <xf numFmtId="0" fontId="9" fillId="0" borderId="0" xfId="0" applyFont="1" applyAlignment="1">
      <alignment horizontal="center" vertical="center"/>
    </xf>
    <xf numFmtId="38" fontId="9" fillId="0" borderId="0" xfId="1" applyFont="1" applyFill="1">
      <alignment vertical="center"/>
    </xf>
    <xf numFmtId="0" fontId="10" fillId="0" borderId="0" xfId="0" applyFont="1">
      <alignment vertical="center"/>
    </xf>
    <xf numFmtId="38" fontId="9" fillId="0" borderId="0" xfId="1" applyFont="1" applyFill="1" applyAlignment="1">
      <alignment horizontal="center" vertical="center"/>
    </xf>
    <xf numFmtId="38" fontId="9" fillId="0" borderId="1" xfId="1" applyFont="1" applyFill="1" applyBorder="1">
      <alignment vertical="center"/>
    </xf>
    <xf numFmtId="0" fontId="6" fillId="0" borderId="0" xfId="0" applyFont="1">
      <alignment vertical="center"/>
    </xf>
    <xf numFmtId="0" fontId="11" fillId="0" borderId="0" xfId="0" applyFont="1">
      <alignment vertical="center"/>
    </xf>
    <xf numFmtId="0" fontId="16" fillId="0" borderId="0" xfId="0" applyFont="1">
      <alignment vertical="center"/>
    </xf>
    <xf numFmtId="0" fontId="17" fillId="0" borderId="0" xfId="0" applyFont="1" applyAlignment="1">
      <alignment horizontal="center" vertical="center"/>
    </xf>
    <xf numFmtId="38" fontId="17" fillId="0" borderId="0" xfId="1" applyFont="1" applyFill="1">
      <alignment vertical="center"/>
    </xf>
    <xf numFmtId="38" fontId="0" fillId="3" borderId="1" xfId="1" applyFont="1" applyFill="1" applyBorder="1">
      <alignment vertical="center"/>
    </xf>
    <xf numFmtId="38" fontId="0" fillId="4" borderId="1" xfId="0" applyNumberFormat="1" applyFill="1" applyBorder="1">
      <alignment vertical="center"/>
    </xf>
    <xf numFmtId="38" fontId="9" fillId="0" borderId="1" xfId="1" applyFont="1" applyFill="1" applyBorder="1" applyAlignment="1">
      <alignment horizontal="center" vertical="center"/>
    </xf>
    <xf numFmtId="38" fontId="6" fillId="4" borderId="1" xfId="1" applyFont="1" applyFill="1" applyBorder="1">
      <alignment vertical="center"/>
    </xf>
    <xf numFmtId="0" fontId="0" fillId="4" borderId="0" xfId="0" applyFill="1">
      <alignment vertical="center"/>
    </xf>
    <xf numFmtId="38" fontId="9" fillId="4" borderId="1" xfId="1" applyFont="1" applyFill="1" applyBorder="1">
      <alignment vertical="center"/>
    </xf>
    <xf numFmtId="38" fontId="0" fillId="2" borderId="1" xfId="1" applyFont="1" applyFill="1" applyBorder="1">
      <alignment vertical="center"/>
    </xf>
    <xf numFmtId="38" fontId="0" fillId="4" borderId="1" xfId="1" applyFont="1" applyFill="1" applyBorder="1">
      <alignment vertical="center"/>
    </xf>
    <xf numFmtId="38" fontId="9" fillId="0" borderId="10" xfId="1" applyFont="1" applyFill="1" applyBorder="1" applyAlignment="1">
      <alignment horizontal="center" vertical="center"/>
    </xf>
    <xf numFmtId="38" fontId="9" fillId="0" borderId="8" xfId="1" applyFont="1" applyFill="1" applyBorder="1" applyAlignment="1">
      <alignment horizontal="center" vertical="center"/>
    </xf>
    <xf numFmtId="38" fontId="9" fillId="0" borderId="12" xfId="1" applyFont="1" applyFill="1" applyBorder="1" applyAlignment="1">
      <alignment horizontal="center" vertical="center"/>
    </xf>
    <xf numFmtId="38" fontId="9" fillId="0" borderId="0" xfId="1" applyFont="1" applyFill="1" applyAlignment="1">
      <alignment horizontal="right" vertical="center"/>
    </xf>
    <xf numFmtId="38" fontId="9" fillId="0" borderId="9" xfId="1" applyFont="1" applyFill="1" applyBorder="1" applyAlignment="1">
      <alignment vertical="center"/>
    </xf>
    <xf numFmtId="38" fontId="9" fillId="0" borderId="11" xfId="1" applyFont="1" applyFill="1" applyBorder="1" applyAlignment="1">
      <alignment vertical="center"/>
    </xf>
    <xf numFmtId="38" fontId="9" fillId="0" borderId="13" xfId="1" applyFont="1" applyFill="1" applyBorder="1" applyAlignment="1">
      <alignment vertical="center"/>
    </xf>
    <xf numFmtId="38" fontId="9" fillId="0" borderId="0" xfId="1" applyFont="1" applyFill="1" applyBorder="1" applyAlignment="1">
      <alignment vertical="center"/>
    </xf>
    <xf numFmtId="9" fontId="9" fillId="0" borderId="0" xfId="1" applyNumberFormat="1" applyFont="1" applyFill="1" applyBorder="1" applyAlignment="1" applyProtection="1">
      <alignment horizontal="right" vertical="center"/>
      <protection locked="0"/>
    </xf>
    <xf numFmtId="0" fontId="9" fillId="0" borderId="0" xfId="1" applyNumberFormat="1" applyFont="1" applyFill="1" applyBorder="1" applyAlignment="1" applyProtection="1">
      <alignment horizontal="right" vertical="center"/>
      <protection locked="0"/>
    </xf>
    <xf numFmtId="0" fontId="10" fillId="0" borderId="14" xfId="0" applyFont="1" applyBorder="1" applyAlignment="1">
      <alignment horizontal="center" vertical="center"/>
    </xf>
    <xf numFmtId="176" fontId="0" fillId="0" borderId="1" xfId="0" applyNumberFormat="1" applyBorder="1" applyAlignment="1">
      <alignment horizontal="center" vertical="center"/>
    </xf>
    <xf numFmtId="38" fontId="0" fillId="2" borderId="1" xfId="0" applyNumberFormat="1" applyFill="1" applyBorder="1">
      <alignment vertical="center"/>
    </xf>
    <xf numFmtId="0" fontId="0" fillId="0" borderId="1" xfId="0" applyBorder="1">
      <alignment vertical="center"/>
    </xf>
    <xf numFmtId="38" fontId="0" fillId="0" borderId="1" xfId="1" applyFont="1" applyBorder="1" applyAlignment="1">
      <alignment vertical="center"/>
    </xf>
    <xf numFmtId="38" fontId="0" fillId="0" borderId="1" xfId="1" applyFont="1" applyBorder="1" applyAlignment="1">
      <alignment vertical="center" wrapText="1"/>
    </xf>
    <xf numFmtId="38" fontId="9" fillId="0" borderId="1" xfId="1" applyFont="1" applyFill="1" applyBorder="1" applyAlignment="1">
      <alignment horizontal="right" vertical="center"/>
    </xf>
    <xf numFmtId="38" fontId="9" fillId="0" borderId="0" xfId="1" applyFont="1" applyFill="1" applyBorder="1" applyAlignment="1">
      <alignment horizontal="center" vertical="center"/>
    </xf>
    <xf numFmtId="38" fontId="10" fillId="4" borderId="1" xfId="0" applyNumberFormat="1" applyFont="1" applyFill="1" applyBorder="1">
      <alignment vertical="center"/>
    </xf>
    <xf numFmtId="38" fontId="10" fillId="0" borderId="1" xfId="1" applyFont="1" applyBorder="1" applyAlignment="1">
      <alignment vertical="center"/>
    </xf>
    <xf numFmtId="38" fontId="10" fillId="0" borderId="1" xfId="0" applyNumberFormat="1" applyFont="1" applyBorder="1">
      <alignment vertical="center"/>
    </xf>
    <xf numFmtId="0" fontId="9" fillId="0" borderId="0" xfId="0" applyFont="1" applyAlignment="1">
      <alignment horizontal="left" vertical="center"/>
    </xf>
    <xf numFmtId="0" fontId="10" fillId="0" borderId="1" xfId="0" applyFont="1" applyBorder="1" applyAlignment="1">
      <alignment horizontal="center" vertical="center"/>
    </xf>
    <xf numFmtId="0" fontId="9" fillId="0" borderId="1" xfId="0" applyFont="1" applyBorder="1" applyAlignment="1">
      <alignment horizontal="center" vertical="center"/>
    </xf>
    <xf numFmtId="38" fontId="10" fillId="0" borderId="1" xfId="1" applyFont="1" applyBorder="1">
      <alignment vertical="center"/>
    </xf>
    <xf numFmtId="38" fontId="10" fillId="0" borderId="1" xfId="0" applyNumberFormat="1" applyFont="1" applyBorder="1" applyAlignment="1">
      <alignment horizontal="right" vertical="center"/>
    </xf>
    <xf numFmtId="38" fontId="4" fillId="0" borderId="0" xfId="1" applyFont="1" applyFill="1">
      <alignment vertical="center"/>
    </xf>
    <xf numFmtId="0" fontId="9" fillId="0" borderId="0" xfId="0" applyFont="1">
      <alignment vertical="center"/>
    </xf>
    <xf numFmtId="0" fontId="9" fillId="0" borderId="14" xfId="0" applyFont="1" applyBorder="1" applyAlignment="1">
      <alignment horizontal="center" vertical="center"/>
    </xf>
    <xf numFmtId="55" fontId="14" fillId="0" borderId="0" xfId="0" applyNumberFormat="1" applyFont="1">
      <alignment vertical="center"/>
    </xf>
    <xf numFmtId="38" fontId="4" fillId="0" borderId="0" xfId="0" applyNumberFormat="1" applyFont="1">
      <alignment vertical="center"/>
    </xf>
    <xf numFmtId="0" fontId="4" fillId="0" borderId="0" xfId="0" applyFont="1" applyAlignment="1">
      <alignment horizontal="center" vertical="center"/>
    </xf>
    <xf numFmtId="0" fontId="9" fillId="0" borderId="1" xfId="0" applyFont="1" applyBorder="1">
      <alignment vertical="center"/>
    </xf>
    <xf numFmtId="38" fontId="9" fillId="0" borderId="1" xfId="1" applyFont="1" applyFill="1" applyBorder="1" applyAlignment="1">
      <alignment vertical="center"/>
    </xf>
    <xf numFmtId="38" fontId="9" fillId="0" borderId="4" xfId="1" applyFont="1" applyFill="1" applyBorder="1" applyAlignment="1">
      <alignment horizontal="center" vertical="center"/>
    </xf>
    <xf numFmtId="38" fontId="0" fillId="0" borderId="0" xfId="0" applyNumberFormat="1">
      <alignment vertical="center"/>
    </xf>
    <xf numFmtId="0" fontId="0" fillId="0" borderId="0" xfId="0" applyAlignment="1">
      <alignment vertical="center" shrinkToFit="1"/>
    </xf>
    <xf numFmtId="0" fontId="20" fillId="0" borderId="0" xfId="0" applyFont="1">
      <alignment vertical="center"/>
    </xf>
    <xf numFmtId="0" fontId="10" fillId="5" borderId="1" xfId="0" applyFont="1" applyFill="1" applyBorder="1" applyAlignment="1">
      <alignment horizontal="center" vertical="center"/>
    </xf>
    <xf numFmtId="38" fontId="9" fillId="5" borderId="1" xfId="1" applyFont="1" applyFill="1" applyBorder="1">
      <alignment vertical="center"/>
    </xf>
    <xf numFmtId="0" fontId="5" fillId="5" borderId="1" xfId="0" applyFont="1" applyFill="1" applyBorder="1" applyAlignment="1">
      <alignment horizontal="center" vertical="center"/>
    </xf>
    <xf numFmtId="0" fontId="6" fillId="0" borderId="1" xfId="0" applyFont="1" applyBorder="1" applyAlignment="1">
      <alignment horizontal="center" vertical="center"/>
    </xf>
    <xf numFmtId="0" fontId="10" fillId="0" borderId="0" xfId="0" applyFont="1" applyAlignment="1">
      <alignment horizontal="right" vertical="center"/>
    </xf>
    <xf numFmtId="38" fontId="10" fillId="0" borderId="0" xfId="1" applyFont="1" applyFill="1">
      <alignment vertical="center"/>
    </xf>
    <xf numFmtId="178" fontId="9" fillId="0" borderId="1" xfId="0" applyNumberFormat="1" applyFont="1" applyBorder="1" applyAlignment="1">
      <alignment horizontal="center" vertical="center"/>
    </xf>
    <xf numFmtId="178" fontId="9" fillId="0" borderId="1" xfId="1" applyNumberFormat="1" applyFont="1" applyFill="1" applyBorder="1" applyAlignment="1">
      <alignment horizontal="center" vertical="center"/>
    </xf>
    <xf numFmtId="0" fontId="10" fillId="0" borderId="15" xfId="0" applyFont="1" applyBorder="1" applyAlignment="1">
      <alignment horizontal="center" vertical="center"/>
    </xf>
    <xf numFmtId="0" fontId="9" fillId="0" borderId="15" xfId="0" applyFont="1" applyBorder="1" applyAlignment="1">
      <alignment horizontal="center" vertical="center"/>
    </xf>
    <xf numFmtId="178" fontId="8" fillId="5" borderId="1" xfId="1" applyNumberFormat="1" applyFont="1" applyFill="1" applyBorder="1" applyAlignment="1">
      <alignment horizontal="center" vertical="center"/>
    </xf>
    <xf numFmtId="38" fontId="6" fillId="5" borderId="1" xfId="1" applyFont="1" applyFill="1" applyBorder="1">
      <alignment vertical="center"/>
    </xf>
    <xf numFmtId="38" fontId="6" fillId="5" borderId="1" xfId="1" applyFont="1" applyFill="1" applyBorder="1" applyAlignment="1">
      <alignment horizontal="right" vertical="center"/>
    </xf>
    <xf numFmtId="38" fontId="6" fillId="5" borderId="1" xfId="1" applyFont="1" applyFill="1" applyBorder="1" applyAlignment="1">
      <alignment horizontal="center" vertical="center"/>
    </xf>
    <xf numFmtId="0" fontId="6" fillId="5" borderId="4" xfId="0" applyFont="1" applyFill="1" applyBorder="1" applyAlignment="1">
      <alignment horizontal="center" vertical="center"/>
    </xf>
    <xf numFmtId="178" fontId="8" fillId="5" borderId="1" xfId="0" applyNumberFormat="1" applyFont="1" applyFill="1" applyBorder="1" applyAlignment="1">
      <alignment horizontal="center" vertical="center"/>
    </xf>
    <xf numFmtId="0" fontId="6" fillId="5" borderId="1" xfId="0" applyFont="1" applyFill="1" applyBorder="1" applyAlignment="1">
      <alignment horizontal="center" vertical="center"/>
    </xf>
    <xf numFmtId="0" fontId="24" fillId="6" borderId="1" xfId="0" applyFont="1" applyFill="1" applyBorder="1" applyAlignment="1">
      <alignment horizontal="center" vertical="center"/>
    </xf>
    <xf numFmtId="38" fontId="10" fillId="6" borderId="1" xfId="0" applyNumberFormat="1" applyFont="1" applyFill="1" applyBorder="1">
      <alignment vertical="center"/>
    </xf>
    <xf numFmtId="38" fontId="23" fillId="6" borderId="1" xfId="1" applyFont="1" applyFill="1" applyBorder="1" applyAlignment="1">
      <alignment vertical="center"/>
    </xf>
    <xf numFmtId="38" fontId="9" fillId="0" borderId="30" xfId="1" applyFont="1" applyFill="1" applyBorder="1">
      <alignment vertical="center"/>
    </xf>
    <xf numFmtId="38" fontId="4" fillId="0" borderId="0" xfId="1" applyFont="1">
      <alignment vertical="center"/>
    </xf>
    <xf numFmtId="38" fontId="9" fillId="0" borderId="0" xfId="1" applyFont="1">
      <alignment vertical="center"/>
    </xf>
    <xf numFmtId="178" fontId="9" fillId="5" borderId="1" xfId="0" applyNumberFormat="1" applyFont="1" applyFill="1" applyBorder="1" applyAlignment="1">
      <alignment horizontal="center" vertical="center" wrapText="1"/>
    </xf>
    <xf numFmtId="178" fontId="9" fillId="0" borderId="1" xfId="0" applyNumberFormat="1" applyFont="1" applyBorder="1" applyAlignment="1">
      <alignment horizontal="center" vertical="center" wrapText="1"/>
    </xf>
    <xf numFmtId="0" fontId="10" fillId="0" borderId="4" xfId="0" applyFont="1" applyBorder="1" applyAlignment="1">
      <alignment horizontal="center" vertical="center"/>
    </xf>
    <xf numFmtId="38" fontId="0" fillId="0" borderId="0" xfId="1" applyFont="1" applyFill="1">
      <alignment vertical="center"/>
    </xf>
    <xf numFmtId="38" fontId="7" fillId="0" borderId="26" xfId="1" applyFont="1" applyFill="1" applyBorder="1" applyAlignment="1">
      <alignment horizontal="center" vertical="center"/>
    </xf>
    <xf numFmtId="38" fontId="6" fillId="0" borderId="1" xfId="1" applyFont="1" applyFill="1" applyBorder="1">
      <alignment vertical="center"/>
    </xf>
    <xf numFmtId="38" fontId="6" fillId="0" borderId="27" xfId="1" applyFont="1" applyFill="1" applyBorder="1">
      <alignment vertical="center"/>
    </xf>
    <xf numFmtId="0" fontId="15" fillId="0" borderId="0" xfId="0" applyFont="1">
      <alignment vertical="center"/>
    </xf>
    <xf numFmtId="178" fontId="6" fillId="0" borderId="1" xfId="1" applyNumberFormat="1" applyFont="1" applyFill="1" applyBorder="1" applyAlignment="1">
      <alignment horizontal="center" vertical="center"/>
    </xf>
    <xf numFmtId="38" fontId="6" fillId="0" borderId="1" xfId="1" applyFont="1" applyFill="1" applyBorder="1" applyAlignment="1">
      <alignment horizontal="center" vertical="center"/>
    </xf>
    <xf numFmtId="38" fontId="6" fillId="0" borderId="1" xfId="1" applyFont="1" applyFill="1" applyBorder="1" applyAlignment="1">
      <alignment horizontal="right" vertical="center"/>
    </xf>
    <xf numFmtId="38" fontId="15" fillId="0" borderId="0" xfId="1" applyFont="1" applyFill="1">
      <alignment vertical="center"/>
    </xf>
    <xf numFmtId="0" fontId="12" fillId="0" borderId="0" xfId="0" applyFont="1">
      <alignment vertical="center"/>
    </xf>
    <xf numFmtId="0" fontId="13" fillId="0" borderId="0" xfId="0" applyFont="1" applyAlignment="1">
      <alignment horizontal="center" vertical="center"/>
    </xf>
    <xf numFmtId="38" fontId="13" fillId="0" borderId="0" xfId="1" applyFont="1" applyFill="1">
      <alignment vertical="center"/>
    </xf>
    <xf numFmtId="38" fontId="14" fillId="0" borderId="0" xfId="1" applyFont="1" applyFill="1">
      <alignment vertical="center"/>
    </xf>
    <xf numFmtId="0" fontId="7" fillId="0" borderId="0" xfId="0" applyFont="1">
      <alignment vertical="center"/>
    </xf>
    <xf numFmtId="38" fontId="6" fillId="0" borderId="0" xfId="1" applyFont="1" applyFill="1" applyAlignment="1">
      <alignment horizontal="center" vertical="center"/>
    </xf>
    <xf numFmtId="178" fontId="6" fillId="0" borderId="4" xfId="0" applyNumberFormat="1" applyFont="1" applyBorder="1" applyAlignment="1">
      <alignment horizontal="center" vertical="center"/>
    </xf>
    <xf numFmtId="0" fontId="6" fillId="0" borderId="4" xfId="0" applyFont="1" applyBorder="1" applyAlignment="1">
      <alignment horizontal="center" vertical="center"/>
    </xf>
    <xf numFmtId="178" fontId="6" fillId="0" borderId="1" xfId="0" applyNumberFormat="1" applyFont="1" applyBorder="1" applyAlignment="1">
      <alignment horizontal="center" vertical="center"/>
    </xf>
    <xf numFmtId="38" fontId="6" fillId="0" borderId="0" xfId="1" applyFont="1" applyFill="1" applyAlignment="1">
      <alignment horizontal="right" vertical="center"/>
    </xf>
    <xf numFmtId="38" fontId="13" fillId="0" borderId="0" xfId="1" applyFont="1" applyFill="1" applyAlignment="1">
      <alignment horizontal="center" vertical="center"/>
    </xf>
    <xf numFmtId="38" fontId="14" fillId="0" borderId="0" xfId="1" applyFont="1" applyFill="1" applyAlignment="1">
      <alignment horizontal="center" vertical="center"/>
    </xf>
    <xf numFmtId="178" fontId="5" fillId="5" borderId="1" xfId="0" applyNumberFormat="1" applyFont="1" applyFill="1" applyBorder="1" applyAlignment="1">
      <alignment horizontal="center" vertical="center" wrapText="1"/>
    </xf>
    <xf numFmtId="0" fontId="9" fillId="5" borderId="1" xfId="0" applyFont="1" applyFill="1" applyBorder="1" applyAlignment="1">
      <alignment horizontal="center" vertical="center"/>
    </xf>
    <xf numFmtId="38" fontId="9" fillId="0" borderId="0" xfId="0" applyNumberFormat="1" applyFont="1">
      <alignment vertical="center"/>
    </xf>
    <xf numFmtId="38" fontId="6" fillId="0" borderId="26" xfId="1" applyFont="1" applyFill="1" applyBorder="1" applyAlignment="1">
      <alignment horizontal="center" vertical="center"/>
    </xf>
    <xf numFmtId="0" fontId="14" fillId="0" borderId="0" xfId="0" applyFont="1" applyAlignment="1">
      <alignment horizontal="center" vertical="center"/>
    </xf>
    <xf numFmtId="38" fontId="22" fillId="0" borderId="0" xfId="1" applyFont="1" applyFill="1">
      <alignment vertical="center"/>
    </xf>
    <xf numFmtId="178" fontId="6" fillId="0" borderId="0" xfId="0" applyNumberFormat="1" applyFont="1" applyAlignment="1">
      <alignment horizontal="center" vertical="center"/>
    </xf>
    <xf numFmtId="38" fontId="4" fillId="0" borderId="0" xfId="1" applyFont="1" applyFill="1" applyAlignment="1">
      <alignment horizontal="center" vertical="center"/>
    </xf>
    <xf numFmtId="177" fontId="6" fillId="0" borderId="1" xfId="0" applyNumberFormat="1" applyFont="1" applyBorder="1" applyAlignment="1">
      <alignment horizontal="right" vertical="center"/>
    </xf>
    <xf numFmtId="38" fontId="20" fillId="0" borderId="0" xfId="1" applyFont="1" applyFill="1">
      <alignment vertical="center"/>
    </xf>
    <xf numFmtId="38" fontId="20" fillId="0" borderId="0" xfId="0" applyNumberFormat="1" applyFont="1">
      <alignment vertical="center"/>
    </xf>
    <xf numFmtId="178" fontId="5" fillId="5" borderId="1" xfId="0" applyNumberFormat="1" applyFont="1" applyFill="1" applyBorder="1" applyAlignment="1">
      <alignment horizontal="center" vertical="center"/>
    </xf>
    <xf numFmtId="38" fontId="9" fillId="5" borderId="1" xfId="1" applyFont="1" applyFill="1" applyBorder="1" applyAlignment="1">
      <alignment horizontal="center" vertical="center"/>
    </xf>
    <xf numFmtId="38" fontId="9" fillId="5" borderId="4" xfId="1" applyFont="1" applyFill="1" applyBorder="1" applyAlignment="1">
      <alignment horizontal="center" vertical="center"/>
    </xf>
    <xf numFmtId="178" fontId="5" fillId="5" borderId="1" xfId="1" applyNumberFormat="1" applyFont="1" applyFill="1" applyBorder="1" applyAlignment="1">
      <alignment horizontal="center" vertical="center"/>
    </xf>
    <xf numFmtId="178" fontId="8" fillId="5" borderId="4" xfId="0" applyNumberFormat="1" applyFont="1" applyFill="1" applyBorder="1" applyAlignment="1">
      <alignment horizontal="center" vertical="center"/>
    </xf>
    <xf numFmtId="0" fontId="18" fillId="0" borderId="0" xfId="0" applyFont="1" applyAlignment="1">
      <alignment horizontal="left" vertical="center"/>
    </xf>
    <xf numFmtId="0" fontId="5" fillId="0" borderId="1" xfId="0" applyFont="1" applyBorder="1" applyAlignment="1">
      <alignment horizontal="left" vertical="center"/>
    </xf>
    <xf numFmtId="0" fontId="9" fillId="0" borderId="1" xfId="0" applyFont="1" applyBorder="1" applyAlignment="1">
      <alignment horizontal="left" vertical="center"/>
    </xf>
    <xf numFmtId="0" fontId="9" fillId="5" borderId="1" xfId="0" applyFont="1" applyFill="1" applyBorder="1" applyAlignment="1">
      <alignment horizontal="left" vertical="center"/>
    </xf>
    <xf numFmtId="0" fontId="6" fillId="0" borderId="1" xfId="0" applyFont="1" applyBorder="1" applyAlignment="1">
      <alignment horizontal="left" vertical="center"/>
    </xf>
    <xf numFmtId="0" fontId="10" fillId="0" borderId="0" xfId="0" applyFont="1" applyAlignment="1">
      <alignment horizontal="left"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38" fontId="20" fillId="0" borderId="1" xfId="1" applyFont="1" applyFill="1" applyBorder="1" applyAlignment="1">
      <alignment horizontal="center" vertical="center" wrapText="1"/>
    </xf>
    <xf numFmtId="0" fontId="20" fillId="5" borderId="1" xfId="0" applyFont="1" applyFill="1" applyBorder="1" applyAlignment="1">
      <alignment horizontal="center" vertical="center"/>
    </xf>
    <xf numFmtId="38" fontId="26" fillId="0" borderId="1" xfId="1" applyFont="1" applyFill="1" applyBorder="1" applyAlignment="1">
      <alignment horizontal="center" vertical="center"/>
    </xf>
    <xf numFmtId="38" fontId="26" fillId="5" borderId="1" xfId="1" applyFont="1" applyFill="1" applyBorder="1" applyAlignment="1">
      <alignment horizontal="center" vertical="center"/>
    </xf>
    <xf numFmtId="0" fontId="20" fillId="0" borderId="0" xfId="0" applyFont="1" applyAlignment="1">
      <alignment horizontal="center" vertical="center"/>
    </xf>
    <xf numFmtId="38" fontId="26" fillId="0" borderId="1" xfId="1" applyFont="1" applyFill="1" applyBorder="1" applyAlignment="1">
      <alignment horizontal="center" vertical="center" wrapText="1"/>
    </xf>
    <xf numFmtId="0" fontId="20" fillId="5" borderId="0" xfId="0" applyFont="1" applyFill="1">
      <alignment vertical="center"/>
    </xf>
    <xf numFmtId="0" fontId="26" fillId="5" borderId="1" xfId="0" applyFont="1" applyFill="1" applyBorder="1" applyAlignment="1">
      <alignment horizontal="center" vertical="center"/>
    </xf>
    <xf numFmtId="0" fontId="26" fillId="0" borderId="1" xfId="0" applyFont="1" applyBorder="1" applyAlignment="1">
      <alignment horizontal="center" vertical="center"/>
    </xf>
    <xf numFmtId="0" fontId="28" fillId="5" borderId="1" xfId="0" applyFont="1" applyFill="1" applyBorder="1" applyAlignment="1">
      <alignment horizontal="center" vertical="center"/>
    </xf>
    <xf numFmtId="0" fontId="20" fillId="0" borderId="1" xfId="0" applyFont="1" applyBorder="1">
      <alignment vertical="center"/>
    </xf>
    <xf numFmtId="0" fontId="27" fillId="5" borderId="0" xfId="0" applyFont="1" applyFill="1" applyAlignment="1">
      <alignment horizontal="center" vertical="center"/>
    </xf>
    <xf numFmtId="0" fontId="28" fillId="0" borderId="0" xfId="0" applyFont="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38" fontId="12" fillId="0" borderId="0" xfId="1" applyFont="1" applyFill="1">
      <alignment vertical="center"/>
    </xf>
    <xf numFmtId="38" fontId="7" fillId="0" borderId="0" xfId="1" applyFont="1" applyFill="1">
      <alignment vertical="center"/>
    </xf>
    <xf numFmtId="38" fontId="25" fillId="0" borderId="0" xfId="1" applyFont="1" applyFill="1" applyAlignment="1">
      <alignment horizontal="center" vertical="center"/>
    </xf>
    <xf numFmtId="178" fontId="8" fillId="0" borderId="1" xfId="1" applyNumberFormat="1" applyFont="1" applyFill="1" applyBorder="1" applyAlignment="1">
      <alignment horizontal="center" vertical="center"/>
    </xf>
    <xf numFmtId="0" fontId="4" fillId="0" borderId="1" xfId="0" applyFont="1" applyBorder="1">
      <alignment vertical="center"/>
    </xf>
    <xf numFmtId="38" fontId="27" fillId="0" borderId="1" xfId="1" applyFont="1" applyFill="1" applyBorder="1" applyAlignment="1">
      <alignment horizontal="center" vertical="center" shrinkToFit="1"/>
    </xf>
    <xf numFmtId="38" fontId="6" fillId="0" borderId="30" xfId="1" applyFont="1" applyFill="1" applyBorder="1" applyAlignment="1">
      <alignment horizontal="center" vertical="center"/>
    </xf>
    <xf numFmtId="38" fontId="6" fillId="0" borderId="30" xfId="1" applyFont="1" applyFill="1" applyBorder="1">
      <alignment vertical="center"/>
    </xf>
    <xf numFmtId="38" fontId="6" fillId="0" borderId="31" xfId="1" applyFont="1" applyFill="1" applyBorder="1">
      <alignment vertical="center"/>
    </xf>
    <xf numFmtId="0" fontId="6" fillId="0" borderId="5" xfId="0" applyFont="1" applyBorder="1" applyAlignment="1">
      <alignment horizontal="center" vertical="center"/>
    </xf>
    <xf numFmtId="178" fontId="8" fillId="0" borderId="4" xfId="0" applyNumberFormat="1" applyFont="1" applyBorder="1" applyAlignment="1">
      <alignment horizontal="center" vertical="center"/>
    </xf>
    <xf numFmtId="38" fontId="26" fillId="5" borderId="0" xfId="1" applyFont="1" applyFill="1">
      <alignment vertical="center"/>
    </xf>
    <xf numFmtId="38" fontId="26" fillId="0" borderId="0" xfId="1" applyFont="1" applyFill="1">
      <alignment vertical="center"/>
    </xf>
    <xf numFmtId="38" fontId="27" fillId="5" borderId="1" xfId="1" applyFont="1" applyFill="1" applyBorder="1" applyAlignment="1">
      <alignment horizontal="center" vertical="center" wrapText="1"/>
    </xf>
    <xf numFmtId="38" fontId="26" fillId="0" borderId="1" xfId="1" applyFont="1" applyFill="1" applyBorder="1" applyAlignment="1">
      <alignment horizontal="right" vertical="center"/>
    </xf>
    <xf numFmtId="38" fontId="26" fillId="0" borderId="0" xfId="1" applyFont="1" applyFill="1" applyAlignment="1">
      <alignment horizontal="center" vertical="center"/>
    </xf>
    <xf numFmtId="0" fontId="27" fillId="5" borderId="1" xfId="0" applyFont="1" applyFill="1" applyBorder="1" applyAlignment="1">
      <alignment horizontal="center" vertical="center"/>
    </xf>
    <xf numFmtId="0" fontId="27" fillId="5" borderId="1" xfId="0" applyFont="1" applyFill="1" applyBorder="1" applyAlignment="1">
      <alignment horizontal="center" vertical="center" wrapText="1"/>
    </xf>
    <xf numFmtId="0" fontId="26" fillId="0" borderId="1" xfId="0" applyFont="1" applyBorder="1" applyAlignment="1">
      <alignment horizontal="center" vertical="center" wrapText="1"/>
    </xf>
    <xf numFmtId="38" fontId="20" fillId="0" borderId="1" xfId="1" applyFont="1" applyFill="1" applyBorder="1" applyAlignment="1">
      <alignment horizontal="center" vertical="center"/>
    </xf>
    <xf numFmtId="0" fontId="20" fillId="5" borderId="0" xfId="0" applyFont="1" applyFill="1" applyAlignment="1">
      <alignment horizontal="center" vertical="center"/>
    </xf>
    <xf numFmtId="0" fontId="26" fillId="5" borderId="0" xfId="0" applyFont="1" applyFill="1">
      <alignment vertical="center"/>
    </xf>
    <xf numFmtId="0" fontId="26" fillId="0" borderId="0" xfId="0" applyFont="1">
      <alignment vertical="center"/>
    </xf>
    <xf numFmtId="0" fontId="26" fillId="5" borderId="0" xfId="0" applyFont="1" applyFill="1" applyAlignment="1">
      <alignment horizontal="center" vertical="center"/>
    </xf>
    <xf numFmtId="0" fontId="26"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38" fontId="29" fillId="0" borderId="0" xfId="1" applyFont="1" applyFill="1">
      <alignment vertical="center"/>
    </xf>
    <xf numFmtId="38" fontId="31" fillId="0" borderId="0" xfId="1" applyFont="1" applyFill="1">
      <alignment vertical="center"/>
    </xf>
    <xf numFmtId="0" fontId="29" fillId="0" borderId="0" xfId="0" applyFont="1">
      <alignment vertical="center"/>
    </xf>
    <xf numFmtId="38" fontId="29" fillId="0" borderId="0" xfId="1" applyFont="1" applyFill="1" applyAlignment="1">
      <alignment horizontal="center" vertical="center"/>
    </xf>
    <xf numFmtId="38" fontId="29" fillId="0" borderId="0" xfId="0" applyNumberFormat="1" applyFont="1">
      <alignment vertical="center"/>
    </xf>
    <xf numFmtId="38" fontId="26" fillId="0" borderId="0" xfId="0" applyNumberFormat="1" applyFont="1">
      <alignment vertical="center"/>
    </xf>
    <xf numFmtId="0" fontId="6" fillId="0" borderId="0" xfId="0" applyFont="1" applyAlignment="1">
      <alignment horizontal="left" vertical="center"/>
    </xf>
    <xf numFmtId="38" fontId="6" fillId="0" borderId="0" xfId="1" applyFont="1" applyFill="1" applyBorder="1" applyAlignment="1">
      <alignment vertical="center"/>
    </xf>
    <xf numFmtId="38" fontId="6" fillId="0" borderId="0" xfId="1" applyFont="1" applyFill="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9" fontId="6" fillId="0" borderId="0" xfId="1" applyNumberFormat="1" applyFont="1" applyFill="1" applyBorder="1" applyAlignment="1" applyProtection="1">
      <alignment horizontal="right" vertical="center"/>
      <protection locked="0"/>
    </xf>
    <xf numFmtId="38" fontId="6" fillId="0" borderId="12" xfId="1" applyFont="1" applyFill="1" applyBorder="1" applyAlignment="1">
      <alignment horizontal="center" vertical="center"/>
    </xf>
    <xf numFmtId="38" fontId="6" fillId="0" borderId="13" xfId="1" applyFont="1" applyFill="1" applyBorder="1" applyAlignment="1">
      <alignment vertical="center"/>
    </xf>
    <xf numFmtId="0" fontId="6" fillId="0" borderId="0" xfId="1" applyNumberFormat="1" applyFont="1" applyFill="1" applyBorder="1" applyAlignment="1" applyProtection="1">
      <alignment horizontal="right" vertical="center"/>
      <protection locked="0"/>
    </xf>
    <xf numFmtId="38" fontId="6" fillId="0" borderId="8" xfId="1" applyFont="1" applyFill="1" applyBorder="1" applyAlignment="1">
      <alignment horizontal="center" vertical="center"/>
    </xf>
    <xf numFmtId="38" fontId="6" fillId="0" borderId="9" xfId="1" applyFont="1" applyFill="1" applyBorder="1" applyAlignment="1">
      <alignment vertical="center"/>
    </xf>
    <xf numFmtId="38" fontId="6" fillId="0" borderId="10" xfId="1" applyFont="1" applyFill="1" applyBorder="1" applyAlignment="1">
      <alignment horizontal="center" vertical="center"/>
    </xf>
    <xf numFmtId="38" fontId="6" fillId="0" borderId="11" xfId="1" applyFont="1" applyFill="1" applyBorder="1" applyAlignment="1">
      <alignment vertical="center"/>
    </xf>
    <xf numFmtId="38" fontId="6" fillId="0" borderId="7" xfId="1" applyFont="1" applyFill="1" applyBorder="1">
      <alignment vertical="center"/>
    </xf>
    <xf numFmtId="38" fontId="6" fillId="5" borderId="7" xfId="1" applyFont="1" applyFill="1" applyBorder="1">
      <alignment vertical="center"/>
    </xf>
    <xf numFmtId="0" fontId="6" fillId="0" borderId="1" xfId="0" applyFont="1" applyBorder="1">
      <alignment vertical="center"/>
    </xf>
    <xf numFmtId="0" fontId="29" fillId="0" borderId="6" xfId="0" applyFont="1" applyBorder="1">
      <alignment vertical="center"/>
    </xf>
    <xf numFmtId="0" fontId="26" fillId="0" borderId="5" xfId="0" applyFont="1" applyBorder="1" applyAlignment="1">
      <alignment horizontal="center" vertical="center"/>
    </xf>
    <xf numFmtId="0" fontId="27" fillId="0" borderId="1" xfId="0" applyFont="1" applyBorder="1" applyAlignment="1">
      <alignment horizontal="center" vertical="center"/>
    </xf>
    <xf numFmtId="0" fontId="26" fillId="0" borderId="7" xfId="0" applyFont="1" applyBorder="1" applyAlignment="1">
      <alignment horizontal="center" vertical="center"/>
    </xf>
    <xf numFmtId="0" fontId="26" fillId="0" borderId="1" xfId="0" applyFont="1" applyBorder="1">
      <alignment vertical="center"/>
    </xf>
    <xf numFmtId="0" fontId="26" fillId="0" borderId="4" xfId="0" applyFont="1" applyBorder="1" applyAlignment="1">
      <alignment horizontal="center" vertical="center"/>
    </xf>
    <xf numFmtId="0" fontId="32" fillId="5" borderId="1" xfId="0" applyFont="1" applyFill="1" applyBorder="1" applyAlignment="1">
      <alignment horizontal="center" vertical="center" shrinkToFit="1"/>
    </xf>
    <xf numFmtId="0" fontId="32" fillId="0" borderId="1" xfId="0" applyFont="1" applyBorder="1" applyAlignment="1">
      <alignment vertical="center" shrinkToFit="1"/>
    </xf>
    <xf numFmtId="0" fontId="20" fillId="5" borderId="1" xfId="0" applyFont="1" applyFill="1" applyBorder="1">
      <alignment vertical="center"/>
    </xf>
    <xf numFmtId="38" fontId="20" fillId="5" borderId="1" xfId="1" applyFont="1" applyFill="1" applyBorder="1" applyAlignment="1">
      <alignment horizontal="center" vertical="center"/>
    </xf>
    <xf numFmtId="38" fontId="32" fillId="5" borderId="1" xfId="1" applyFont="1" applyFill="1" applyBorder="1" applyAlignment="1">
      <alignment horizontal="center" vertical="center"/>
    </xf>
    <xf numFmtId="0" fontId="32" fillId="0" borderId="0" xfId="0" applyFont="1" applyAlignment="1">
      <alignment horizontal="center" vertical="center"/>
    </xf>
    <xf numFmtId="0" fontId="24" fillId="0" borderId="1" xfId="0" applyFont="1" applyBorder="1" applyAlignment="1">
      <alignment horizontal="center" vertical="center"/>
    </xf>
    <xf numFmtId="38" fontId="10" fillId="0" borderId="1" xfId="1" applyFont="1" applyFill="1" applyBorder="1" applyAlignment="1">
      <alignment vertical="center"/>
    </xf>
    <xf numFmtId="38" fontId="29" fillId="0" borderId="0" xfId="1" applyFont="1">
      <alignment vertical="center"/>
    </xf>
    <xf numFmtId="0" fontId="29" fillId="0" borderId="32" xfId="0" applyFont="1" applyBorder="1" applyAlignment="1">
      <alignment horizontal="left" vertical="center"/>
    </xf>
    <xf numFmtId="0" fontId="29" fillId="0" borderId="0" xfId="0" applyFont="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38" fontId="6" fillId="0" borderId="1" xfId="1"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38" fontId="6" fillId="0" borderId="16" xfId="1" applyFont="1" applyFill="1" applyBorder="1" applyAlignment="1">
      <alignment horizontal="center" vertical="center"/>
    </xf>
    <xf numFmtId="38" fontId="6" fillId="0" borderId="17" xfId="1" applyFont="1" applyFill="1" applyBorder="1" applyAlignment="1">
      <alignment horizontal="center" vertical="center"/>
    </xf>
    <xf numFmtId="38" fontId="6" fillId="0" borderId="0" xfId="1" applyFont="1" applyFill="1" applyBorder="1" applyAlignment="1">
      <alignment horizontal="center" vertical="center"/>
    </xf>
    <xf numFmtId="38" fontId="6" fillId="0" borderId="0" xfId="1" applyFont="1" applyFill="1" applyBorder="1" applyAlignment="1">
      <alignment horizontal="right" vertical="center"/>
    </xf>
    <xf numFmtId="38" fontId="9" fillId="0" borderId="16" xfId="1" applyFont="1" applyFill="1" applyBorder="1" applyAlignment="1">
      <alignment horizontal="center" vertical="center"/>
    </xf>
    <xf numFmtId="38" fontId="9" fillId="0" borderId="17" xfId="1" applyFont="1" applyFill="1" applyBorder="1" applyAlignment="1">
      <alignment horizontal="center" vertical="center"/>
    </xf>
    <xf numFmtId="38" fontId="9" fillId="0" borderId="1" xfId="1" applyFont="1" applyFill="1" applyBorder="1" applyAlignment="1">
      <alignment horizontal="center" vertical="center"/>
    </xf>
    <xf numFmtId="0" fontId="10" fillId="0" borderId="1" xfId="0" applyFont="1" applyBorder="1" applyAlignment="1">
      <alignment horizontal="center" vertical="center"/>
    </xf>
    <xf numFmtId="0" fontId="9" fillId="0" borderId="1" xfId="0" applyFont="1" applyBorder="1" applyAlignment="1">
      <alignment horizontal="center" vertical="center"/>
    </xf>
    <xf numFmtId="38" fontId="9" fillId="0" borderId="0" xfId="1" applyFont="1" applyFill="1" applyBorder="1" applyAlignment="1">
      <alignment horizontal="center" vertical="center"/>
    </xf>
    <xf numFmtId="38" fontId="9" fillId="0" borderId="0" xfId="1" applyFont="1" applyFill="1" applyBorder="1" applyAlignment="1">
      <alignment horizontal="right" vertical="center"/>
    </xf>
    <xf numFmtId="38" fontId="6" fillId="0" borderId="23" xfId="1" applyFont="1" applyFill="1" applyBorder="1" applyAlignment="1">
      <alignment horizontal="center" vertical="center"/>
    </xf>
    <xf numFmtId="38" fontId="6" fillId="0" borderId="25" xfId="1" applyFont="1" applyFill="1" applyBorder="1" applyAlignment="1">
      <alignment horizontal="center" vertical="center"/>
    </xf>
    <xf numFmtId="38" fontId="6" fillId="0" borderId="28" xfId="1" applyFont="1" applyFill="1" applyBorder="1" applyAlignment="1">
      <alignment horizontal="center" vertical="center"/>
    </xf>
    <xf numFmtId="38" fontId="6" fillId="0" borderId="29" xfId="1" applyFont="1" applyFill="1" applyBorder="1" applyAlignment="1">
      <alignment horizontal="center" vertical="center"/>
    </xf>
    <xf numFmtId="38" fontId="7" fillId="0" borderId="19" xfId="1" applyFont="1" applyFill="1" applyBorder="1" applyAlignment="1">
      <alignment horizontal="center" vertical="center"/>
    </xf>
    <xf numFmtId="38" fontId="7" fillId="0" borderId="24" xfId="1" applyFont="1" applyFill="1" applyBorder="1" applyAlignment="1">
      <alignment horizontal="center" vertical="center"/>
    </xf>
    <xf numFmtId="38" fontId="6" fillId="0" borderId="20" xfId="1" applyFont="1" applyFill="1" applyBorder="1" applyAlignment="1">
      <alignment horizontal="center" vertical="center"/>
    </xf>
    <xf numFmtId="38" fontId="6" fillId="0" borderId="5" xfId="1" applyFont="1" applyFill="1" applyBorder="1" applyAlignment="1">
      <alignment horizontal="center" vertical="center"/>
    </xf>
    <xf numFmtId="38" fontId="6" fillId="0" borderId="21" xfId="1" applyFont="1" applyFill="1" applyBorder="1" applyAlignment="1">
      <alignment horizontal="center" vertical="center"/>
    </xf>
    <xf numFmtId="38" fontId="6" fillId="0" borderId="22" xfId="1"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38" fontId="6" fillId="0" borderId="2" xfId="1" applyFont="1" applyFill="1" applyBorder="1" applyAlignment="1">
      <alignment horizontal="center" vertical="center"/>
    </xf>
    <xf numFmtId="38" fontId="6" fillId="0" borderId="3" xfId="1"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8"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38" fontId="9" fillId="0" borderId="2" xfId="1" applyFont="1" applyFill="1" applyBorder="1" applyAlignment="1">
      <alignment horizontal="center" vertical="center"/>
    </xf>
    <xf numFmtId="38" fontId="9" fillId="0" borderId="3" xfId="1" applyFont="1" applyFill="1" applyBorder="1" applyAlignment="1">
      <alignment horizontal="center" vertical="center"/>
    </xf>
    <xf numFmtId="38" fontId="19" fillId="0" borderId="0" xfId="1" applyFont="1" applyAlignment="1">
      <alignment horizontal="left" vertical="center" wrapText="1"/>
    </xf>
    <xf numFmtId="0" fontId="0" fillId="0" borderId="0" xfId="0">
      <alignment vertical="center"/>
    </xf>
  </cellXfs>
  <cellStyles count="2">
    <cellStyle name="桁区切り" xfId="1" builtinId="6"/>
    <cellStyle name="標準" xfId="0" builtinId="0"/>
  </cellStyles>
  <dxfs count="0"/>
  <tableStyles count="0" defaultTableStyle="TableStyleMedium2" defaultPivotStyle="PivotStyleLight16"/>
  <colors>
    <mruColors>
      <color rgb="FFFF0000"/>
      <color rgb="FFFECFC6"/>
      <color rgb="FFF47C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529476490121618E-2"/>
          <c:y val="8.4794578221586259E-2"/>
          <c:w val="0.91799028987787834"/>
          <c:h val="0.89909218475930619"/>
        </c:manualLayout>
      </c:layout>
      <c:lineChart>
        <c:grouping val="standard"/>
        <c:varyColors val="0"/>
        <c:ser>
          <c:idx val="0"/>
          <c:order val="0"/>
          <c:tx>
            <c:strRef>
              <c:f>価格推移グラフ!$A$3</c:f>
              <c:strCache>
                <c:ptCount val="1"/>
                <c:pt idx="0">
                  <c:v>雌</c:v>
                </c:pt>
              </c:strCache>
            </c:strRef>
          </c:tx>
          <c:spPr>
            <a:effectLst/>
          </c:spPr>
          <c:marker>
            <c:spPr>
              <a:effectLst/>
            </c:spPr>
          </c:marker>
          <c:dPt>
            <c:idx val="13"/>
            <c:bubble3D val="0"/>
            <c:extLst>
              <c:ext xmlns:c16="http://schemas.microsoft.com/office/drawing/2014/chart" uri="{C3380CC4-5D6E-409C-BE32-E72D297353CC}">
                <c16:uniqueId val="{00000000-0C07-49B6-BB84-2B7DA7003FF6}"/>
              </c:ext>
            </c:extLst>
          </c:dPt>
          <c:cat>
            <c:strRef>
              <c:f>価格推移グラフ!$B$2:$FJ$2</c:f>
              <c:strCache>
                <c:ptCount val="81"/>
                <c:pt idx="0">
                  <c:v>R2.1月</c:v>
                </c:pt>
                <c:pt idx="1">
                  <c:v>2月</c:v>
                </c:pt>
                <c:pt idx="2">
                  <c:v>3月</c:v>
                </c:pt>
                <c:pt idx="3">
                  <c:v>4月</c:v>
                </c:pt>
                <c:pt idx="4">
                  <c:v>5月</c:v>
                </c:pt>
                <c:pt idx="5">
                  <c:v>6月</c:v>
                </c:pt>
                <c:pt idx="6">
                  <c:v>7月</c:v>
                </c:pt>
                <c:pt idx="7">
                  <c:v>8月</c:v>
                </c:pt>
                <c:pt idx="8">
                  <c:v>9月</c:v>
                </c:pt>
                <c:pt idx="9">
                  <c:v>10月</c:v>
                </c:pt>
                <c:pt idx="10">
                  <c:v>11月</c:v>
                </c:pt>
                <c:pt idx="11">
                  <c:v>12月</c:v>
                </c:pt>
                <c:pt idx="12">
                  <c:v>R3.1月</c:v>
                </c:pt>
                <c:pt idx="13">
                  <c:v>2月</c:v>
                </c:pt>
                <c:pt idx="14">
                  <c:v>3月</c:v>
                </c:pt>
                <c:pt idx="15">
                  <c:v>4月</c:v>
                </c:pt>
                <c:pt idx="16">
                  <c:v>5月</c:v>
                </c:pt>
                <c:pt idx="17">
                  <c:v>6月</c:v>
                </c:pt>
                <c:pt idx="18">
                  <c:v>7月</c:v>
                </c:pt>
                <c:pt idx="19">
                  <c:v>8月</c:v>
                </c:pt>
                <c:pt idx="20">
                  <c:v>9月</c:v>
                </c:pt>
                <c:pt idx="21">
                  <c:v>10月</c:v>
                </c:pt>
                <c:pt idx="22">
                  <c:v>11月</c:v>
                </c:pt>
                <c:pt idx="23">
                  <c:v>12月</c:v>
                </c:pt>
                <c:pt idx="24">
                  <c:v>R4.1月</c:v>
                </c:pt>
                <c:pt idx="25">
                  <c:v>2月</c:v>
                </c:pt>
                <c:pt idx="26">
                  <c:v>3月</c:v>
                </c:pt>
                <c:pt idx="27">
                  <c:v>4月</c:v>
                </c:pt>
                <c:pt idx="28">
                  <c:v>5月</c:v>
                </c:pt>
                <c:pt idx="29">
                  <c:v>6月</c:v>
                </c:pt>
                <c:pt idx="30">
                  <c:v>7月</c:v>
                </c:pt>
                <c:pt idx="31">
                  <c:v>8月</c:v>
                </c:pt>
                <c:pt idx="32">
                  <c:v>9月</c:v>
                </c:pt>
                <c:pt idx="33">
                  <c:v>10月</c:v>
                </c:pt>
                <c:pt idx="34">
                  <c:v>11月</c:v>
                </c:pt>
                <c:pt idx="35">
                  <c:v>12月</c:v>
                </c:pt>
                <c:pt idx="36">
                  <c:v>R5.1月</c:v>
                </c:pt>
                <c:pt idx="37">
                  <c:v>2月</c:v>
                </c:pt>
                <c:pt idx="38">
                  <c:v>3月</c:v>
                </c:pt>
                <c:pt idx="39">
                  <c:v>4月</c:v>
                </c:pt>
                <c:pt idx="40">
                  <c:v>5月</c:v>
                </c:pt>
                <c:pt idx="41">
                  <c:v>6月</c:v>
                </c:pt>
                <c:pt idx="42">
                  <c:v>7月</c:v>
                </c:pt>
                <c:pt idx="43">
                  <c:v>8月</c:v>
                </c:pt>
                <c:pt idx="44">
                  <c:v>9月</c:v>
                </c:pt>
                <c:pt idx="45">
                  <c:v>10月</c:v>
                </c:pt>
                <c:pt idx="46">
                  <c:v>11月</c:v>
                </c:pt>
                <c:pt idx="47">
                  <c:v>12月</c:v>
                </c:pt>
                <c:pt idx="48">
                  <c:v>R6.1月</c:v>
                </c:pt>
                <c:pt idx="49">
                  <c:v>2月</c:v>
                </c:pt>
                <c:pt idx="50">
                  <c:v>3月</c:v>
                </c:pt>
                <c:pt idx="51">
                  <c:v>4月</c:v>
                </c:pt>
                <c:pt idx="52">
                  <c:v>5月</c:v>
                </c:pt>
                <c:pt idx="53">
                  <c:v>6月</c:v>
                </c:pt>
                <c:pt idx="54">
                  <c:v>7月</c:v>
                </c:pt>
                <c:pt idx="55">
                  <c:v>8月</c:v>
                </c:pt>
                <c:pt idx="56">
                  <c:v>9月</c:v>
                </c:pt>
                <c:pt idx="57">
                  <c:v>10月</c:v>
                </c:pt>
                <c:pt idx="58">
                  <c:v>11月</c:v>
                </c:pt>
                <c:pt idx="59">
                  <c:v>12月</c:v>
                </c:pt>
                <c:pt idx="60">
                  <c:v>R7.1月</c:v>
                </c:pt>
                <c:pt idx="61">
                  <c:v>2月</c:v>
                </c:pt>
                <c:pt idx="62">
                  <c:v>3月</c:v>
                </c:pt>
                <c:pt idx="63">
                  <c:v>4月</c:v>
                </c:pt>
                <c:pt idx="64">
                  <c:v>5月</c:v>
                </c:pt>
                <c:pt idx="65">
                  <c:v>6月</c:v>
                </c:pt>
                <c:pt idx="66">
                  <c:v>7月</c:v>
                </c:pt>
                <c:pt idx="67">
                  <c:v>8月</c:v>
                </c:pt>
                <c:pt idx="68">
                  <c:v>9月</c:v>
                </c:pt>
                <c:pt idx="69">
                  <c:v>10月</c:v>
                </c:pt>
                <c:pt idx="70">
                  <c:v>11月</c:v>
                </c:pt>
                <c:pt idx="71">
                  <c:v>12月</c:v>
                </c:pt>
                <c:pt idx="72">
                  <c:v>R8.1月</c:v>
                </c:pt>
                <c:pt idx="73">
                  <c:v>2月</c:v>
                </c:pt>
                <c:pt idx="74">
                  <c:v>3月</c:v>
                </c:pt>
                <c:pt idx="75">
                  <c:v>4月</c:v>
                </c:pt>
                <c:pt idx="76">
                  <c:v>5月</c:v>
                </c:pt>
                <c:pt idx="77">
                  <c:v>6月</c:v>
                </c:pt>
                <c:pt idx="78">
                  <c:v>7月</c:v>
                </c:pt>
                <c:pt idx="79">
                  <c:v>8月</c:v>
                </c:pt>
                <c:pt idx="80">
                  <c:v>9月</c:v>
                </c:pt>
              </c:strCache>
            </c:strRef>
          </c:cat>
          <c:val>
            <c:numRef>
              <c:f>価格推移グラフ!$B$3:$FJ$3</c:f>
              <c:numCache>
                <c:formatCode>#,##0_);[Red]\(#,##0\)</c:formatCode>
                <c:ptCount val="81"/>
                <c:pt idx="0">
                  <c:v>700445.27878321137</c:v>
                </c:pt>
                <c:pt idx="1">
                  <c:v>687211.22187359934</c:v>
                </c:pt>
                <c:pt idx="2">
                  <c:v>647457.79251848627</c:v>
                </c:pt>
                <c:pt idx="3">
                  <c:v>626251.05890538031</c:v>
                </c:pt>
                <c:pt idx="4">
                  <c:v>583940.18726591766</c:v>
                </c:pt>
                <c:pt idx="5">
                  <c:v>650338.51101321587</c:v>
                </c:pt>
                <c:pt idx="6">
                  <c:v>628876.49959903769</c:v>
                </c:pt>
                <c:pt idx="7">
                  <c:v>640486.36703741155</c:v>
                </c:pt>
                <c:pt idx="8">
                  <c:v>618565.06463719765</c:v>
                </c:pt>
                <c:pt idx="9">
                  <c:v>676746.82400358259</c:v>
                </c:pt>
                <c:pt idx="10">
                  <c:v>714645.45294635009</c:v>
                </c:pt>
                <c:pt idx="11">
                  <c:v>753638.86435070308</c:v>
                </c:pt>
                <c:pt idx="12">
                  <c:v>711949</c:v>
                </c:pt>
                <c:pt idx="13">
                  <c:v>730306.96949788835</c:v>
                </c:pt>
                <c:pt idx="14">
                  <c:v>735386.61638655467</c:v>
                </c:pt>
                <c:pt idx="15">
                  <c:v>775342.93788235297</c:v>
                </c:pt>
                <c:pt idx="16">
                  <c:v>723973.14112903224</c:v>
                </c:pt>
                <c:pt idx="17">
                  <c:v>715600.73382099823</c:v>
                </c:pt>
                <c:pt idx="18">
                  <c:v>708312.8435897436</c:v>
                </c:pt>
                <c:pt idx="19">
                  <c:v>678691.0492537315</c:v>
                </c:pt>
                <c:pt idx="20">
                  <c:v>670429.58904399339</c:v>
                </c:pt>
                <c:pt idx="21">
                  <c:v>674430.91775011527</c:v>
                </c:pt>
                <c:pt idx="22">
                  <c:v>684813.97992248076</c:v>
                </c:pt>
                <c:pt idx="23">
                  <c:v>665204.10000000009</c:v>
                </c:pt>
                <c:pt idx="24">
                  <c:v>663929.37593032455</c:v>
                </c:pt>
                <c:pt idx="25">
                  <c:v>648157.015609756</c:v>
                </c:pt>
                <c:pt idx="26">
                  <c:v>631423.80365332309</c:v>
                </c:pt>
                <c:pt idx="27">
                  <c:v>647443.3886185243</c:v>
                </c:pt>
                <c:pt idx="28">
                  <c:v>594087.10952380963</c:v>
                </c:pt>
                <c:pt idx="29">
                  <c:v>603170.49375000002</c:v>
                </c:pt>
                <c:pt idx="30">
                  <c:v>570153.62380952376</c:v>
                </c:pt>
                <c:pt idx="31">
                  <c:v>536296.23024210089</c:v>
                </c:pt>
                <c:pt idx="32">
                  <c:v>425398.1574380165</c:v>
                </c:pt>
                <c:pt idx="33">
                  <c:v>484824.71512136882</c:v>
                </c:pt>
                <c:pt idx="34">
                  <c:v>412524.13104414858</c:v>
                </c:pt>
                <c:pt idx="35">
                  <c:v>569106.33591975784</c:v>
                </c:pt>
                <c:pt idx="36">
                  <c:v>551577</c:v>
                </c:pt>
                <c:pt idx="37">
                  <c:v>530594.16371343797</c:v>
                </c:pt>
                <c:pt idx="38">
                  <c:v>528364.02159820276</c:v>
                </c:pt>
                <c:pt idx="39">
                  <c:v>539879.72500000009</c:v>
                </c:pt>
                <c:pt idx="40">
                  <c:v>497681.38095238095</c:v>
                </c:pt>
                <c:pt idx="41">
                  <c:v>487731.40625000006</c:v>
                </c:pt>
                <c:pt idx="42">
                  <c:v>441278.51428571431</c:v>
                </c:pt>
                <c:pt idx="43">
                  <c:v>455071.95437500003</c:v>
                </c:pt>
                <c:pt idx="44">
                  <c:v>419652.08421052631</c:v>
                </c:pt>
                <c:pt idx="45">
                  <c:v>400330.7</c:v>
                </c:pt>
                <c:pt idx="46">
                  <c:v>418525.38095238095</c:v>
                </c:pt>
                <c:pt idx="47">
                  <c:v>460102.36250000005</c:v>
                </c:pt>
                <c:pt idx="48">
                  <c:v>463515.9190476191</c:v>
                </c:pt>
                <c:pt idx="49">
                  <c:v>451711.42500000005</c:v>
                </c:pt>
                <c:pt idx="50">
                  <c:v>482594.8000000001</c:v>
                </c:pt>
                <c:pt idx="51">
                  <c:v>497045.77999999997</c:v>
                </c:pt>
                <c:pt idx="52">
                  <c:v>438746.1047619048</c:v>
                </c:pt>
                <c:pt idx="53">
                  <c:v>458557.06874999998</c:v>
                </c:pt>
                <c:pt idx="54">
                  <c:v>417008.53333333333</c:v>
                </c:pt>
                <c:pt idx="55">
                  <c:v>420851.81875000003</c:v>
                </c:pt>
                <c:pt idx="56">
                  <c:v>405601.3823529412</c:v>
                </c:pt>
                <c:pt idx="57">
                  <c:v>404443.73750000005</c:v>
                </c:pt>
                <c:pt idx="58">
                  <c:v>430899.4250000001</c:v>
                </c:pt>
                <c:pt idx="59">
                  <c:v>457786.60329249623</c:v>
                </c:pt>
                <c:pt idx="60">
                  <c:v>450568.08562136261</c:v>
                </c:pt>
                <c:pt idx="61">
                  <c:v>500611.54000000015</c:v>
                </c:pt>
                <c:pt idx="62">
                  <c:v>508888.32500000001</c:v>
                </c:pt>
                <c:pt idx="63">
                  <c:v>576756.1066666668</c:v>
                </c:pt>
                <c:pt idx="64">
                  <c:v>558829.64500000002</c:v>
                </c:pt>
                <c:pt idx="65">
                  <c:v>581519.25333333341</c:v>
                </c:pt>
                <c:pt idx="66">
                  <c:v>561734.25</c:v>
                </c:pt>
                <c:pt idx="67">
                  <c:v>578445.41333333345</c:v>
                </c:pt>
                <c:pt idx="68">
                  <c:v>564955.96666666679</c:v>
                </c:pt>
                <c:pt idx="69">
                  <c:v>582582.88000000012</c:v>
                </c:pt>
                <c:pt idx="70">
                  <c:v>618347.92105263169</c:v>
                </c:pt>
                <c:pt idx="71">
                  <c:v>680093.33333333349</c:v>
                </c:pt>
                <c:pt idx="72">
                  <c:v>700279.12446504983</c:v>
                </c:pt>
                <c:pt idx="73">
                  <c:v>749198.19333333336</c:v>
                </c:pt>
                <c:pt idx="74">
                  <c:v>772945.33684210537</c:v>
                </c:pt>
                <c:pt idx="75">
                  <c:v>787605.20666666667</c:v>
                </c:pt>
                <c:pt idx="76">
                  <c:v>793838.65000000014</c:v>
                </c:pt>
                <c:pt idx="77">
                  <c:v>767442.28</c:v>
                </c:pt>
                <c:pt idx="78">
                  <c:v>748123.30476190464</c:v>
                </c:pt>
                <c:pt idx="79">
                  <c:v>747970.06428571441</c:v>
                </c:pt>
                <c:pt idx="80">
                  <c:v>739725.13000000012</c:v>
                </c:pt>
              </c:numCache>
            </c:numRef>
          </c:val>
          <c:smooth val="0"/>
          <c:extLst>
            <c:ext xmlns:c16="http://schemas.microsoft.com/office/drawing/2014/chart" uri="{C3380CC4-5D6E-409C-BE32-E72D297353CC}">
              <c16:uniqueId val="{00000000-59D4-4224-92F6-7C2755A02C8B}"/>
            </c:ext>
          </c:extLst>
        </c:ser>
        <c:ser>
          <c:idx val="1"/>
          <c:order val="1"/>
          <c:tx>
            <c:strRef>
              <c:f>価格推移グラフ!$A$4</c:f>
              <c:strCache>
                <c:ptCount val="1"/>
                <c:pt idx="0">
                  <c:v>去勢</c:v>
                </c:pt>
              </c:strCache>
            </c:strRef>
          </c:tx>
          <c:dPt>
            <c:idx val="8"/>
            <c:bubble3D val="0"/>
            <c:extLst>
              <c:ext xmlns:c16="http://schemas.microsoft.com/office/drawing/2014/chart" uri="{C3380CC4-5D6E-409C-BE32-E72D297353CC}">
                <c16:uniqueId val="{00000008-0615-4154-A5BA-058CCB4F3593}"/>
              </c:ext>
            </c:extLst>
          </c:dPt>
          <c:dPt>
            <c:idx val="11"/>
            <c:marker>
              <c:spPr>
                <a:effectLst/>
              </c:spPr>
            </c:marker>
            <c:bubble3D val="0"/>
            <c:spPr>
              <a:effectLst/>
            </c:spPr>
            <c:extLst>
              <c:ext xmlns:c16="http://schemas.microsoft.com/office/drawing/2014/chart" uri="{C3380CC4-5D6E-409C-BE32-E72D297353CC}">
                <c16:uniqueId val="{00000001-0C07-49B6-BB84-2B7DA7003FF6}"/>
              </c:ext>
            </c:extLst>
          </c:dPt>
          <c:cat>
            <c:strRef>
              <c:f>価格推移グラフ!$B$2:$FJ$2</c:f>
              <c:strCache>
                <c:ptCount val="81"/>
                <c:pt idx="0">
                  <c:v>R2.1月</c:v>
                </c:pt>
                <c:pt idx="1">
                  <c:v>2月</c:v>
                </c:pt>
                <c:pt idx="2">
                  <c:v>3月</c:v>
                </c:pt>
                <c:pt idx="3">
                  <c:v>4月</c:v>
                </c:pt>
                <c:pt idx="4">
                  <c:v>5月</c:v>
                </c:pt>
                <c:pt idx="5">
                  <c:v>6月</c:v>
                </c:pt>
                <c:pt idx="6">
                  <c:v>7月</c:v>
                </c:pt>
                <c:pt idx="7">
                  <c:v>8月</c:v>
                </c:pt>
                <c:pt idx="8">
                  <c:v>9月</c:v>
                </c:pt>
                <c:pt idx="9">
                  <c:v>10月</c:v>
                </c:pt>
                <c:pt idx="10">
                  <c:v>11月</c:v>
                </c:pt>
                <c:pt idx="11">
                  <c:v>12月</c:v>
                </c:pt>
                <c:pt idx="12">
                  <c:v>R3.1月</c:v>
                </c:pt>
                <c:pt idx="13">
                  <c:v>2月</c:v>
                </c:pt>
                <c:pt idx="14">
                  <c:v>3月</c:v>
                </c:pt>
                <c:pt idx="15">
                  <c:v>4月</c:v>
                </c:pt>
                <c:pt idx="16">
                  <c:v>5月</c:v>
                </c:pt>
                <c:pt idx="17">
                  <c:v>6月</c:v>
                </c:pt>
                <c:pt idx="18">
                  <c:v>7月</c:v>
                </c:pt>
                <c:pt idx="19">
                  <c:v>8月</c:v>
                </c:pt>
                <c:pt idx="20">
                  <c:v>9月</c:v>
                </c:pt>
                <c:pt idx="21">
                  <c:v>10月</c:v>
                </c:pt>
                <c:pt idx="22">
                  <c:v>11月</c:v>
                </c:pt>
                <c:pt idx="23">
                  <c:v>12月</c:v>
                </c:pt>
                <c:pt idx="24">
                  <c:v>R4.1月</c:v>
                </c:pt>
                <c:pt idx="25">
                  <c:v>2月</c:v>
                </c:pt>
                <c:pt idx="26">
                  <c:v>3月</c:v>
                </c:pt>
                <c:pt idx="27">
                  <c:v>4月</c:v>
                </c:pt>
                <c:pt idx="28">
                  <c:v>5月</c:v>
                </c:pt>
                <c:pt idx="29">
                  <c:v>6月</c:v>
                </c:pt>
                <c:pt idx="30">
                  <c:v>7月</c:v>
                </c:pt>
                <c:pt idx="31">
                  <c:v>8月</c:v>
                </c:pt>
                <c:pt idx="32">
                  <c:v>9月</c:v>
                </c:pt>
                <c:pt idx="33">
                  <c:v>10月</c:v>
                </c:pt>
                <c:pt idx="34">
                  <c:v>11月</c:v>
                </c:pt>
                <c:pt idx="35">
                  <c:v>12月</c:v>
                </c:pt>
                <c:pt idx="36">
                  <c:v>R5.1月</c:v>
                </c:pt>
                <c:pt idx="37">
                  <c:v>2月</c:v>
                </c:pt>
                <c:pt idx="38">
                  <c:v>3月</c:v>
                </c:pt>
                <c:pt idx="39">
                  <c:v>4月</c:v>
                </c:pt>
                <c:pt idx="40">
                  <c:v>5月</c:v>
                </c:pt>
                <c:pt idx="41">
                  <c:v>6月</c:v>
                </c:pt>
                <c:pt idx="42">
                  <c:v>7月</c:v>
                </c:pt>
                <c:pt idx="43">
                  <c:v>8月</c:v>
                </c:pt>
                <c:pt idx="44">
                  <c:v>9月</c:v>
                </c:pt>
                <c:pt idx="45">
                  <c:v>10月</c:v>
                </c:pt>
                <c:pt idx="46">
                  <c:v>11月</c:v>
                </c:pt>
                <c:pt idx="47">
                  <c:v>12月</c:v>
                </c:pt>
                <c:pt idx="48">
                  <c:v>R6.1月</c:v>
                </c:pt>
                <c:pt idx="49">
                  <c:v>2月</c:v>
                </c:pt>
                <c:pt idx="50">
                  <c:v>3月</c:v>
                </c:pt>
                <c:pt idx="51">
                  <c:v>4月</c:v>
                </c:pt>
                <c:pt idx="52">
                  <c:v>5月</c:v>
                </c:pt>
                <c:pt idx="53">
                  <c:v>6月</c:v>
                </c:pt>
                <c:pt idx="54">
                  <c:v>7月</c:v>
                </c:pt>
                <c:pt idx="55">
                  <c:v>8月</c:v>
                </c:pt>
                <c:pt idx="56">
                  <c:v>9月</c:v>
                </c:pt>
                <c:pt idx="57">
                  <c:v>10月</c:v>
                </c:pt>
                <c:pt idx="58">
                  <c:v>11月</c:v>
                </c:pt>
                <c:pt idx="59">
                  <c:v>12月</c:v>
                </c:pt>
                <c:pt idx="60">
                  <c:v>R7.1月</c:v>
                </c:pt>
                <c:pt idx="61">
                  <c:v>2月</c:v>
                </c:pt>
                <c:pt idx="62">
                  <c:v>3月</c:v>
                </c:pt>
                <c:pt idx="63">
                  <c:v>4月</c:v>
                </c:pt>
                <c:pt idx="64">
                  <c:v>5月</c:v>
                </c:pt>
                <c:pt idx="65">
                  <c:v>6月</c:v>
                </c:pt>
                <c:pt idx="66">
                  <c:v>7月</c:v>
                </c:pt>
                <c:pt idx="67">
                  <c:v>8月</c:v>
                </c:pt>
                <c:pt idx="68">
                  <c:v>9月</c:v>
                </c:pt>
                <c:pt idx="69">
                  <c:v>10月</c:v>
                </c:pt>
                <c:pt idx="70">
                  <c:v>11月</c:v>
                </c:pt>
                <c:pt idx="71">
                  <c:v>12月</c:v>
                </c:pt>
                <c:pt idx="72">
                  <c:v>R8.1月</c:v>
                </c:pt>
                <c:pt idx="73">
                  <c:v>2月</c:v>
                </c:pt>
                <c:pt idx="74">
                  <c:v>3月</c:v>
                </c:pt>
                <c:pt idx="75">
                  <c:v>4月</c:v>
                </c:pt>
                <c:pt idx="76">
                  <c:v>5月</c:v>
                </c:pt>
                <c:pt idx="77">
                  <c:v>6月</c:v>
                </c:pt>
                <c:pt idx="78">
                  <c:v>7月</c:v>
                </c:pt>
                <c:pt idx="79">
                  <c:v>8月</c:v>
                </c:pt>
                <c:pt idx="80">
                  <c:v>9月</c:v>
                </c:pt>
              </c:strCache>
            </c:strRef>
          </c:cat>
          <c:val>
            <c:numRef>
              <c:f>価格推移グラフ!$B$4:$FJ$4</c:f>
              <c:numCache>
                <c:formatCode>#,##0_);[Red]\(#,##0\)</c:formatCode>
                <c:ptCount val="81"/>
                <c:pt idx="0">
                  <c:v>827492.12087912089</c:v>
                </c:pt>
                <c:pt idx="1">
                  <c:v>796025.53204915312</c:v>
                </c:pt>
                <c:pt idx="2">
                  <c:v>755082.38505921653</c:v>
                </c:pt>
                <c:pt idx="3">
                  <c:v>725255.15667439555</c:v>
                </c:pt>
                <c:pt idx="4">
                  <c:v>672770.60969793319</c:v>
                </c:pt>
                <c:pt idx="5">
                  <c:v>720002.84565142659</c:v>
                </c:pt>
                <c:pt idx="6">
                  <c:v>715590.21156036446</c:v>
                </c:pt>
                <c:pt idx="7">
                  <c:v>710516.86995884776</c:v>
                </c:pt>
                <c:pt idx="8">
                  <c:v>712020.58583433379</c:v>
                </c:pt>
                <c:pt idx="9">
                  <c:v>752971.77301015391</c:v>
                </c:pt>
                <c:pt idx="10">
                  <c:v>812257.11926899652</c:v>
                </c:pt>
                <c:pt idx="11">
                  <c:v>858606.04096455546</c:v>
                </c:pt>
                <c:pt idx="12">
                  <c:v>836622</c:v>
                </c:pt>
                <c:pt idx="13">
                  <c:v>855838.82179623714</c:v>
                </c:pt>
                <c:pt idx="14">
                  <c:v>855566.37547288777</c:v>
                </c:pt>
                <c:pt idx="15">
                  <c:v>884857.73657548125</c:v>
                </c:pt>
                <c:pt idx="16">
                  <c:v>812585.39269766223</c:v>
                </c:pt>
                <c:pt idx="17">
                  <c:v>811597.49319189356</c:v>
                </c:pt>
                <c:pt idx="18">
                  <c:v>804529.16191011225</c:v>
                </c:pt>
                <c:pt idx="19">
                  <c:v>779595.94226170157</c:v>
                </c:pt>
                <c:pt idx="20">
                  <c:v>754315.88541131106</c:v>
                </c:pt>
                <c:pt idx="21">
                  <c:v>759431.11923861329</c:v>
                </c:pt>
                <c:pt idx="22">
                  <c:v>783924.62935295759</c:v>
                </c:pt>
                <c:pt idx="23">
                  <c:v>792570.9</c:v>
                </c:pt>
                <c:pt idx="24">
                  <c:v>794959.80874999997</c:v>
                </c:pt>
                <c:pt idx="25">
                  <c:v>801751.14665974397</c:v>
                </c:pt>
                <c:pt idx="26">
                  <c:v>767883.68899215793</c:v>
                </c:pt>
                <c:pt idx="27">
                  <c:v>823351.34482976026</c:v>
                </c:pt>
                <c:pt idx="28">
                  <c:v>698482.50476190471</c:v>
                </c:pt>
                <c:pt idx="29">
                  <c:v>693549.72499999998</c:v>
                </c:pt>
                <c:pt idx="30">
                  <c:v>673156.3666666667</c:v>
                </c:pt>
                <c:pt idx="31">
                  <c:v>636895.00508420705</c:v>
                </c:pt>
                <c:pt idx="32">
                  <c:v>523006.97439337708</c:v>
                </c:pt>
                <c:pt idx="33">
                  <c:v>591806.50566750625</c:v>
                </c:pt>
                <c:pt idx="34">
                  <c:v>500871.90960686607</c:v>
                </c:pt>
                <c:pt idx="35">
                  <c:v>689799.57302169269</c:v>
                </c:pt>
                <c:pt idx="36">
                  <c:v>676252</c:v>
                </c:pt>
                <c:pt idx="37">
                  <c:v>690439.72565723804</c:v>
                </c:pt>
                <c:pt idx="38">
                  <c:v>673963.87313471513</c:v>
                </c:pt>
                <c:pt idx="39">
                  <c:v>691532.73749999993</c:v>
                </c:pt>
                <c:pt idx="40">
                  <c:v>626302.2333333334</c:v>
                </c:pt>
                <c:pt idx="41">
                  <c:v>614734.03749999998</c:v>
                </c:pt>
                <c:pt idx="42">
                  <c:v>554942.50952380942</c:v>
                </c:pt>
                <c:pt idx="43">
                  <c:v>572932.38750000007</c:v>
                </c:pt>
                <c:pt idx="44">
                  <c:v>538157.74736842106</c:v>
                </c:pt>
                <c:pt idx="45">
                  <c:v>506911.28125000006</c:v>
                </c:pt>
                <c:pt idx="46">
                  <c:v>533284.92380952381</c:v>
                </c:pt>
                <c:pt idx="47">
                  <c:v>582697.01875000005</c:v>
                </c:pt>
                <c:pt idx="48">
                  <c:v>583894.57619047619</c:v>
                </c:pt>
                <c:pt idx="49">
                  <c:v>583650.03125000012</c:v>
                </c:pt>
                <c:pt idx="50">
                  <c:v>644210.05499999993</c:v>
                </c:pt>
                <c:pt idx="51">
                  <c:v>653708.95333333337</c:v>
                </c:pt>
                <c:pt idx="52">
                  <c:v>578299.38571428577</c:v>
                </c:pt>
                <c:pt idx="53">
                  <c:v>595312.09375000012</c:v>
                </c:pt>
                <c:pt idx="54">
                  <c:v>538196.05714285723</c:v>
                </c:pt>
                <c:pt idx="55">
                  <c:v>545557.37500000012</c:v>
                </c:pt>
                <c:pt idx="56">
                  <c:v>519926.84117647051</c:v>
                </c:pt>
                <c:pt idx="57">
                  <c:v>525224.56250000012</c:v>
                </c:pt>
                <c:pt idx="58">
                  <c:v>548054.59500000009</c:v>
                </c:pt>
                <c:pt idx="59">
                  <c:v>582837.79813780263</c:v>
                </c:pt>
                <c:pt idx="60">
                  <c:v>588662.4316144156</c:v>
                </c:pt>
                <c:pt idx="61">
                  <c:v>665663.02</c:v>
                </c:pt>
                <c:pt idx="62">
                  <c:v>690299.61</c:v>
                </c:pt>
                <c:pt idx="63">
                  <c:v>726403.33333333337</c:v>
                </c:pt>
                <c:pt idx="64">
                  <c:v>692879.93500000017</c:v>
                </c:pt>
                <c:pt idx="65">
                  <c:v>696625.82</c:v>
                </c:pt>
                <c:pt idx="66">
                  <c:v>674625.05</c:v>
                </c:pt>
                <c:pt idx="67">
                  <c:v>693594.66000000015</c:v>
                </c:pt>
                <c:pt idx="68">
                  <c:v>675069.93888888892</c:v>
                </c:pt>
                <c:pt idx="69">
                  <c:v>700368.82666666666</c:v>
                </c:pt>
                <c:pt idx="70">
                  <c:v>739326.1526315792</c:v>
                </c:pt>
                <c:pt idx="71">
                  <c:v>799324.3866666666</c:v>
                </c:pt>
                <c:pt idx="72">
                  <c:v>812791.51028539147</c:v>
                </c:pt>
                <c:pt idx="73">
                  <c:v>870353.65999999992</c:v>
                </c:pt>
                <c:pt idx="74">
                  <c:v>888159.45263157878</c:v>
                </c:pt>
                <c:pt idx="75">
                  <c:v>911676.26000000013</c:v>
                </c:pt>
                <c:pt idx="76">
                  <c:v>905408.625</c:v>
                </c:pt>
                <c:pt idx="77">
                  <c:v>889900.2933333331</c:v>
                </c:pt>
                <c:pt idx="78">
                  <c:v>871699.97619047621</c:v>
                </c:pt>
                <c:pt idx="79">
                  <c:v>875015.58571428584</c:v>
                </c:pt>
                <c:pt idx="80">
                  <c:v>859410.56500000006</c:v>
                </c:pt>
              </c:numCache>
            </c:numRef>
          </c:val>
          <c:smooth val="0"/>
          <c:extLst>
            <c:ext xmlns:c16="http://schemas.microsoft.com/office/drawing/2014/chart" uri="{C3380CC4-5D6E-409C-BE32-E72D297353CC}">
              <c16:uniqueId val="{00000001-59D4-4224-92F6-7C2755A02C8B}"/>
            </c:ext>
          </c:extLst>
        </c:ser>
        <c:ser>
          <c:idx val="2"/>
          <c:order val="2"/>
          <c:tx>
            <c:strRef>
              <c:f>価格推移グラフ!$A$5</c:f>
              <c:strCache>
                <c:ptCount val="1"/>
                <c:pt idx="0">
                  <c:v>合計</c:v>
                </c:pt>
              </c:strCache>
            </c:strRef>
          </c:tx>
          <c:spPr>
            <a:effectLst/>
          </c:spPr>
          <c:marker>
            <c:spPr>
              <a:effectLst/>
            </c:spPr>
          </c:marker>
          <c:dPt>
            <c:idx val="11"/>
            <c:bubble3D val="0"/>
            <c:extLst>
              <c:ext xmlns:c16="http://schemas.microsoft.com/office/drawing/2014/chart" uri="{C3380CC4-5D6E-409C-BE32-E72D297353CC}">
                <c16:uniqueId val="{00000002-0C07-49B6-BB84-2B7DA7003FF6}"/>
              </c:ext>
            </c:extLst>
          </c:dPt>
          <c:cat>
            <c:strRef>
              <c:f>価格推移グラフ!$B$2:$FJ$2</c:f>
              <c:strCache>
                <c:ptCount val="81"/>
                <c:pt idx="0">
                  <c:v>R2.1月</c:v>
                </c:pt>
                <c:pt idx="1">
                  <c:v>2月</c:v>
                </c:pt>
                <c:pt idx="2">
                  <c:v>3月</c:v>
                </c:pt>
                <c:pt idx="3">
                  <c:v>4月</c:v>
                </c:pt>
                <c:pt idx="4">
                  <c:v>5月</c:v>
                </c:pt>
                <c:pt idx="5">
                  <c:v>6月</c:v>
                </c:pt>
                <c:pt idx="6">
                  <c:v>7月</c:v>
                </c:pt>
                <c:pt idx="7">
                  <c:v>8月</c:v>
                </c:pt>
                <c:pt idx="8">
                  <c:v>9月</c:v>
                </c:pt>
                <c:pt idx="9">
                  <c:v>10月</c:v>
                </c:pt>
                <c:pt idx="10">
                  <c:v>11月</c:v>
                </c:pt>
                <c:pt idx="11">
                  <c:v>12月</c:v>
                </c:pt>
                <c:pt idx="12">
                  <c:v>R3.1月</c:v>
                </c:pt>
                <c:pt idx="13">
                  <c:v>2月</c:v>
                </c:pt>
                <c:pt idx="14">
                  <c:v>3月</c:v>
                </c:pt>
                <c:pt idx="15">
                  <c:v>4月</c:v>
                </c:pt>
                <c:pt idx="16">
                  <c:v>5月</c:v>
                </c:pt>
                <c:pt idx="17">
                  <c:v>6月</c:v>
                </c:pt>
                <c:pt idx="18">
                  <c:v>7月</c:v>
                </c:pt>
                <c:pt idx="19">
                  <c:v>8月</c:v>
                </c:pt>
                <c:pt idx="20">
                  <c:v>9月</c:v>
                </c:pt>
                <c:pt idx="21">
                  <c:v>10月</c:v>
                </c:pt>
                <c:pt idx="22">
                  <c:v>11月</c:v>
                </c:pt>
                <c:pt idx="23">
                  <c:v>12月</c:v>
                </c:pt>
                <c:pt idx="24">
                  <c:v>R4.1月</c:v>
                </c:pt>
                <c:pt idx="25">
                  <c:v>2月</c:v>
                </c:pt>
                <c:pt idx="26">
                  <c:v>3月</c:v>
                </c:pt>
                <c:pt idx="27">
                  <c:v>4月</c:v>
                </c:pt>
                <c:pt idx="28">
                  <c:v>5月</c:v>
                </c:pt>
                <c:pt idx="29">
                  <c:v>6月</c:v>
                </c:pt>
                <c:pt idx="30">
                  <c:v>7月</c:v>
                </c:pt>
                <c:pt idx="31">
                  <c:v>8月</c:v>
                </c:pt>
                <c:pt idx="32">
                  <c:v>9月</c:v>
                </c:pt>
                <c:pt idx="33">
                  <c:v>10月</c:v>
                </c:pt>
                <c:pt idx="34">
                  <c:v>11月</c:v>
                </c:pt>
                <c:pt idx="35">
                  <c:v>12月</c:v>
                </c:pt>
                <c:pt idx="36">
                  <c:v>R5.1月</c:v>
                </c:pt>
                <c:pt idx="37">
                  <c:v>2月</c:v>
                </c:pt>
                <c:pt idx="38">
                  <c:v>3月</c:v>
                </c:pt>
                <c:pt idx="39">
                  <c:v>4月</c:v>
                </c:pt>
                <c:pt idx="40">
                  <c:v>5月</c:v>
                </c:pt>
                <c:pt idx="41">
                  <c:v>6月</c:v>
                </c:pt>
                <c:pt idx="42">
                  <c:v>7月</c:v>
                </c:pt>
                <c:pt idx="43">
                  <c:v>8月</c:v>
                </c:pt>
                <c:pt idx="44">
                  <c:v>9月</c:v>
                </c:pt>
                <c:pt idx="45">
                  <c:v>10月</c:v>
                </c:pt>
                <c:pt idx="46">
                  <c:v>11月</c:v>
                </c:pt>
                <c:pt idx="47">
                  <c:v>12月</c:v>
                </c:pt>
                <c:pt idx="48">
                  <c:v>R6.1月</c:v>
                </c:pt>
                <c:pt idx="49">
                  <c:v>2月</c:v>
                </c:pt>
                <c:pt idx="50">
                  <c:v>3月</c:v>
                </c:pt>
                <c:pt idx="51">
                  <c:v>4月</c:v>
                </c:pt>
                <c:pt idx="52">
                  <c:v>5月</c:v>
                </c:pt>
                <c:pt idx="53">
                  <c:v>6月</c:v>
                </c:pt>
                <c:pt idx="54">
                  <c:v>7月</c:v>
                </c:pt>
                <c:pt idx="55">
                  <c:v>8月</c:v>
                </c:pt>
                <c:pt idx="56">
                  <c:v>9月</c:v>
                </c:pt>
                <c:pt idx="57">
                  <c:v>10月</c:v>
                </c:pt>
                <c:pt idx="58">
                  <c:v>11月</c:v>
                </c:pt>
                <c:pt idx="59">
                  <c:v>12月</c:v>
                </c:pt>
                <c:pt idx="60">
                  <c:v>R7.1月</c:v>
                </c:pt>
                <c:pt idx="61">
                  <c:v>2月</c:v>
                </c:pt>
                <c:pt idx="62">
                  <c:v>3月</c:v>
                </c:pt>
                <c:pt idx="63">
                  <c:v>4月</c:v>
                </c:pt>
                <c:pt idx="64">
                  <c:v>5月</c:v>
                </c:pt>
                <c:pt idx="65">
                  <c:v>6月</c:v>
                </c:pt>
                <c:pt idx="66">
                  <c:v>7月</c:v>
                </c:pt>
                <c:pt idx="67">
                  <c:v>8月</c:v>
                </c:pt>
                <c:pt idx="68">
                  <c:v>9月</c:v>
                </c:pt>
                <c:pt idx="69">
                  <c:v>10月</c:v>
                </c:pt>
                <c:pt idx="70">
                  <c:v>11月</c:v>
                </c:pt>
                <c:pt idx="71">
                  <c:v>12月</c:v>
                </c:pt>
                <c:pt idx="72">
                  <c:v>R8.1月</c:v>
                </c:pt>
                <c:pt idx="73">
                  <c:v>2月</c:v>
                </c:pt>
                <c:pt idx="74">
                  <c:v>3月</c:v>
                </c:pt>
                <c:pt idx="75">
                  <c:v>4月</c:v>
                </c:pt>
                <c:pt idx="76">
                  <c:v>5月</c:v>
                </c:pt>
                <c:pt idx="77">
                  <c:v>6月</c:v>
                </c:pt>
                <c:pt idx="78">
                  <c:v>7月</c:v>
                </c:pt>
                <c:pt idx="79">
                  <c:v>8月</c:v>
                </c:pt>
                <c:pt idx="80">
                  <c:v>9月</c:v>
                </c:pt>
              </c:strCache>
            </c:strRef>
          </c:cat>
          <c:val>
            <c:numRef>
              <c:f>価格推移グラフ!$B$5:$FJ$5</c:f>
              <c:numCache>
                <c:formatCode>#,##0_);[Red]\(#,##0\)</c:formatCode>
                <c:ptCount val="81"/>
                <c:pt idx="0">
                  <c:v>773808.31858119101</c:v>
                </c:pt>
                <c:pt idx="1">
                  <c:v>749714.06199923693</c:v>
                </c:pt>
                <c:pt idx="2">
                  <c:v>710835.43615879829</c:v>
                </c:pt>
                <c:pt idx="3">
                  <c:v>684008.23207729473</c:v>
                </c:pt>
                <c:pt idx="4">
                  <c:v>635964.70841092488</c:v>
                </c:pt>
                <c:pt idx="5">
                  <c:v>691262.08723747986</c:v>
                </c:pt>
                <c:pt idx="6">
                  <c:v>679582.21994671994</c:v>
                </c:pt>
                <c:pt idx="7">
                  <c:v>682212.75578259095</c:v>
                </c:pt>
                <c:pt idx="8">
                  <c:v>672909.53176265268</c:v>
                </c:pt>
                <c:pt idx="9">
                  <c:v>720771.56280741584</c:v>
                </c:pt>
                <c:pt idx="10">
                  <c:v>771098.40812163916</c:v>
                </c:pt>
                <c:pt idx="11">
                  <c:v>815293.64624573383</c:v>
                </c:pt>
                <c:pt idx="12">
                  <c:v>785017</c:v>
                </c:pt>
                <c:pt idx="13">
                  <c:v>801774.88136620854</c:v>
                </c:pt>
                <c:pt idx="14">
                  <c:v>804048.39517291065</c:v>
                </c:pt>
                <c:pt idx="15">
                  <c:v>839100.96362563898</c:v>
                </c:pt>
                <c:pt idx="16">
                  <c:v>775594.69303749048</c:v>
                </c:pt>
                <c:pt idx="17">
                  <c:v>770901.31136446551</c:v>
                </c:pt>
                <c:pt idx="18">
                  <c:v>764154.07169872825</c:v>
                </c:pt>
                <c:pt idx="19">
                  <c:v>736174.23762164277</c:v>
                </c:pt>
                <c:pt idx="20">
                  <c:v>718102.00582542014</c:v>
                </c:pt>
                <c:pt idx="21">
                  <c:v>723358.83650948945</c:v>
                </c:pt>
                <c:pt idx="22">
                  <c:v>742555.06495712663</c:v>
                </c:pt>
                <c:pt idx="23">
                  <c:v>738216.60000000009</c:v>
                </c:pt>
                <c:pt idx="24">
                  <c:v>740215.70135626849</c:v>
                </c:pt>
                <c:pt idx="25">
                  <c:v>734419.34931959561</c:v>
                </c:pt>
                <c:pt idx="26">
                  <c:v>709520.77593085112</c:v>
                </c:pt>
                <c:pt idx="27">
                  <c:v>744999.79557692318</c:v>
                </c:pt>
                <c:pt idx="28">
                  <c:v>655387.38226126519</c:v>
                </c:pt>
                <c:pt idx="29">
                  <c:v>655825.93379048398</c:v>
                </c:pt>
                <c:pt idx="30">
                  <c:v>629095.24658080481</c:v>
                </c:pt>
                <c:pt idx="31">
                  <c:v>592991.13433022914</c:v>
                </c:pt>
                <c:pt idx="32">
                  <c:v>480860.23137064063</c:v>
                </c:pt>
                <c:pt idx="33">
                  <c:v>544549.47637546132</c:v>
                </c:pt>
                <c:pt idx="34">
                  <c:v>461876.46265078872</c:v>
                </c:pt>
                <c:pt idx="35">
                  <c:v>635890.60726965347</c:v>
                </c:pt>
                <c:pt idx="36">
                  <c:v>621767</c:v>
                </c:pt>
                <c:pt idx="37">
                  <c:v>620142.08834824769</c:v>
                </c:pt>
                <c:pt idx="38">
                  <c:v>608928.03566513758</c:v>
                </c:pt>
                <c:pt idx="39">
                  <c:v>622417.53750000009</c:v>
                </c:pt>
                <c:pt idx="40">
                  <c:v>570880.80573180318</c:v>
                </c:pt>
                <c:pt idx="41">
                  <c:v>558373.71231341583</c:v>
                </c:pt>
                <c:pt idx="42">
                  <c:v>504491.21911206801</c:v>
                </c:pt>
                <c:pt idx="43">
                  <c:v>517843.42499999999</c:v>
                </c:pt>
                <c:pt idx="44">
                  <c:v>485318.66842105269</c:v>
                </c:pt>
                <c:pt idx="45">
                  <c:v>458147.11250000005</c:v>
                </c:pt>
                <c:pt idx="46">
                  <c:v>480102.75238095241</c:v>
                </c:pt>
                <c:pt idx="47">
                  <c:v>525570.375</c:v>
                </c:pt>
                <c:pt idx="48">
                  <c:v>529689.19523809536</c:v>
                </c:pt>
                <c:pt idx="49">
                  <c:v>522667.06249999994</c:v>
                </c:pt>
                <c:pt idx="50">
                  <c:v>578082.98</c:v>
                </c:pt>
                <c:pt idx="51">
                  <c:v>582804.19999999995</c:v>
                </c:pt>
                <c:pt idx="52">
                  <c:v>516468.20173067524</c:v>
                </c:pt>
                <c:pt idx="53">
                  <c:v>534963.8054295542</c:v>
                </c:pt>
                <c:pt idx="54">
                  <c:v>482998.2086801331</c:v>
                </c:pt>
                <c:pt idx="55">
                  <c:v>488515.08750000008</c:v>
                </c:pt>
                <c:pt idx="56">
                  <c:v>465978.82941176475</c:v>
                </c:pt>
                <c:pt idx="57">
                  <c:v>472622.35625000001</c:v>
                </c:pt>
                <c:pt idx="58">
                  <c:v>496461.57</c:v>
                </c:pt>
                <c:pt idx="59">
                  <c:v>526849.90380527941</c:v>
                </c:pt>
                <c:pt idx="60">
                  <c:v>520160.7638616988</c:v>
                </c:pt>
                <c:pt idx="61">
                  <c:v>593092.4107352366</c:v>
                </c:pt>
                <c:pt idx="62">
                  <c:v>626389.43893848418</c:v>
                </c:pt>
                <c:pt idx="63">
                  <c:v>659020.52934822417</c:v>
                </c:pt>
                <c:pt idx="64">
                  <c:v>634304.84435324511</c:v>
                </c:pt>
                <c:pt idx="65">
                  <c:v>642903.72000385809</c:v>
                </c:pt>
                <c:pt idx="66">
                  <c:v>623908.60313594167</c:v>
                </c:pt>
                <c:pt idx="67">
                  <c:v>642130.87086776865</c:v>
                </c:pt>
                <c:pt idx="68">
                  <c:v>630486.23326015379</c:v>
                </c:pt>
                <c:pt idx="69">
                  <c:v>650081.68612493086</c:v>
                </c:pt>
                <c:pt idx="70">
                  <c:v>690673.68636284571</c:v>
                </c:pt>
                <c:pt idx="71">
                  <c:v>748369.68262374518</c:v>
                </c:pt>
                <c:pt idx="72">
                  <c:v>763053.93042724265</c:v>
                </c:pt>
                <c:pt idx="73">
                  <c:v>813735.76238361269</c:v>
                </c:pt>
                <c:pt idx="74">
                  <c:v>836400.39010494761</c:v>
                </c:pt>
                <c:pt idx="75">
                  <c:v>857298.43337191362</c:v>
                </c:pt>
                <c:pt idx="76">
                  <c:v>858761.86928687198</c:v>
                </c:pt>
                <c:pt idx="77">
                  <c:v>834769.02401289286</c:v>
                </c:pt>
                <c:pt idx="78">
                  <c:v>817823.06184014573</c:v>
                </c:pt>
                <c:pt idx="79">
                  <c:v>819239.04836726049</c:v>
                </c:pt>
                <c:pt idx="80">
                  <c:v>806538.99235851772</c:v>
                </c:pt>
              </c:numCache>
            </c:numRef>
          </c:val>
          <c:smooth val="0"/>
          <c:extLst>
            <c:ext xmlns:c16="http://schemas.microsoft.com/office/drawing/2014/chart" uri="{C3380CC4-5D6E-409C-BE32-E72D297353CC}">
              <c16:uniqueId val="{00000002-59D4-4224-92F6-7C2755A02C8B}"/>
            </c:ext>
          </c:extLst>
        </c:ser>
        <c:ser>
          <c:idx val="3"/>
          <c:order val="3"/>
          <c:tx>
            <c:strRef>
              <c:f>価格推移グラフ!$A$6</c:f>
              <c:strCache>
                <c:ptCount val="1"/>
                <c:pt idx="0">
                  <c:v>肉用子牛生産者補給金制度
保証基準価格</c:v>
                </c:pt>
              </c:strCache>
            </c:strRef>
          </c:tx>
          <c:cat>
            <c:strRef>
              <c:f>価格推移グラフ!$B$2:$FJ$2</c:f>
              <c:strCache>
                <c:ptCount val="81"/>
                <c:pt idx="0">
                  <c:v>R2.1月</c:v>
                </c:pt>
                <c:pt idx="1">
                  <c:v>2月</c:v>
                </c:pt>
                <c:pt idx="2">
                  <c:v>3月</c:v>
                </c:pt>
                <c:pt idx="3">
                  <c:v>4月</c:v>
                </c:pt>
                <c:pt idx="4">
                  <c:v>5月</c:v>
                </c:pt>
                <c:pt idx="5">
                  <c:v>6月</c:v>
                </c:pt>
                <c:pt idx="6">
                  <c:v>7月</c:v>
                </c:pt>
                <c:pt idx="7">
                  <c:v>8月</c:v>
                </c:pt>
                <c:pt idx="8">
                  <c:v>9月</c:v>
                </c:pt>
                <c:pt idx="9">
                  <c:v>10月</c:v>
                </c:pt>
                <c:pt idx="10">
                  <c:v>11月</c:v>
                </c:pt>
                <c:pt idx="11">
                  <c:v>12月</c:v>
                </c:pt>
                <c:pt idx="12">
                  <c:v>R3.1月</c:v>
                </c:pt>
                <c:pt idx="13">
                  <c:v>2月</c:v>
                </c:pt>
                <c:pt idx="14">
                  <c:v>3月</c:v>
                </c:pt>
                <c:pt idx="15">
                  <c:v>4月</c:v>
                </c:pt>
                <c:pt idx="16">
                  <c:v>5月</c:v>
                </c:pt>
                <c:pt idx="17">
                  <c:v>6月</c:v>
                </c:pt>
                <c:pt idx="18">
                  <c:v>7月</c:v>
                </c:pt>
                <c:pt idx="19">
                  <c:v>8月</c:v>
                </c:pt>
                <c:pt idx="20">
                  <c:v>9月</c:v>
                </c:pt>
                <c:pt idx="21">
                  <c:v>10月</c:v>
                </c:pt>
                <c:pt idx="22">
                  <c:v>11月</c:v>
                </c:pt>
                <c:pt idx="23">
                  <c:v>12月</c:v>
                </c:pt>
                <c:pt idx="24">
                  <c:v>R4.1月</c:v>
                </c:pt>
                <c:pt idx="25">
                  <c:v>2月</c:v>
                </c:pt>
                <c:pt idx="26">
                  <c:v>3月</c:v>
                </c:pt>
                <c:pt idx="27">
                  <c:v>4月</c:v>
                </c:pt>
                <c:pt idx="28">
                  <c:v>5月</c:v>
                </c:pt>
                <c:pt idx="29">
                  <c:v>6月</c:v>
                </c:pt>
                <c:pt idx="30">
                  <c:v>7月</c:v>
                </c:pt>
                <c:pt idx="31">
                  <c:v>8月</c:v>
                </c:pt>
                <c:pt idx="32">
                  <c:v>9月</c:v>
                </c:pt>
                <c:pt idx="33">
                  <c:v>10月</c:v>
                </c:pt>
                <c:pt idx="34">
                  <c:v>11月</c:v>
                </c:pt>
                <c:pt idx="35">
                  <c:v>12月</c:v>
                </c:pt>
                <c:pt idx="36">
                  <c:v>R5.1月</c:v>
                </c:pt>
                <c:pt idx="37">
                  <c:v>2月</c:v>
                </c:pt>
                <c:pt idx="38">
                  <c:v>3月</c:v>
                </c:pt>
                <c:pt idx="39">
                  <c:v>4月</c:v>
                </c:pt>
                <c:pt idx="40">
                  <c:v>5月</c:v>
                </c:pt>
                <c:pt idx="41">
                  <c:v>6月</c:v>
                </c:pt>
                <c:pt idx="42">
                  <c:v>7月</c:v>
                </c:pt>
                <c:pt idx="43">
                  <c:v>8月</c:v>
                </c:pt>
                <c:pt idx="44">
                  <c:v>9月</c:v>
                </c:pt>
                <c:pt idx="45">
                  <c:v>10月</c:v>
                </c:pt>
                <c:pt idx="46">
                  <c:v>11月</c:v>
                </c:pt>
                <c:pt idx="47">
                  <c:v>12月</c:v>
                </c:pt>
                <c:pt idx="48">
                  <c:v>R6.1月</c:v>
                </c:pt>
                <c:pt idx="49">
                  <c:v>2月</c:v>
                </c:pt>
                <c:pt idx="50">
                  <c:v>3月</c:v>
                </c:pt>
                <c:pt idx="51">
                  <c:v>4月</c:v>
                </c:pt>
                <c:pt idx="52">
                  <c:v>5月</c:v>
                </c:pt>
                <c:pt idx="53">
                  <c:v>6月</c:v>
                </c:pt>
                <c:pt idx="54">
                  <c:v>7月</c:v>
                </c:pt>
                <c:pt idx="55">
                  <c:v>8月</c:v>
                </c:pt>
                <c:pt idx="56">
                  <c:v>9月</c:v>
                </c:pt>
                <c:pt idx="57">
                  <c:v>10月</c:v>
                </c:pt>
                <c:pt idx="58">
                  <c:v>11月</c:v>
                </c:pt>
                <c:pt idx="59">
                  <c:v>12月</c:v>
                </c:pt>
                <c:pt idx="60">
                  <c:v>R7.1月</c:v>
                </c:pt>
                <c:pt idx="61">
                  <c:v>2月</c:v>
                </c:pt>
                <c:pt idx="62">
                  <c:v>3月</c:v>
                </c:pt>
                <c:pt idx="63">
                  <c:v>4月</c:v>
                </c:pt>
                <c:pt idx="64">
                  <c:v>5月</c:v>
                </c:pt>
                <c:pt idx="65">
                  <c:v>6月</c:v>
                </c:pt>
                <c:pt idx="66">
                  <c:v>7月</c:v>
                </c:pt>
                <c:pt idx="67">
                  <c:v>8月</c:v>
                </c:pt>
                <c:pt idx="68">
                  <c:v>9月</c:v>
                </c:pt>
                <c:pt idx="69">
                  <c:v>10月</c:v>
                </c:pt>
                <c:pt idx="70">
                  <c:v>11月</c:v>
                </c:pt>
                <c:pt idx="71">
                  <c:v>12月</c:v>
                </c:pt>
                <c:pt idx="72">
                  <c:v>R8.1月</c:v>
                </c:pt>
                <c:pt idx="73">
                  <c:v>2月</c:v>
                </c:pt>
                <c:pt idx="74">
                  <c:v>3月</c:v>
                </c:pt>
                <c:pt idx="75">
                  <c:v>4月</c:v>
                </c:pt>
                <c:pt idx="76">
                  <c:v>5月</c:v>
                </c:pt>
                <c:pt idx="77">
                  <c:v>6月</c:v>
                </c:pt>
                <c:pt idx="78">
                  <c:v>7月</c:v>
                </c:pt>
                <c:pt idx="79">
                  <c:v>8月</c:v>
                </c:pt>
                <c:pt idx="80">
                  <c:v>9月</c:v>
                </c:pt>
              </c:strCache>
            </c:strRef>
          </c:cat>
          <c:val>
            <c:numRef>
              <c:f>価格推移グラフ!$B$6:$FJ$6</c:f>
              <c:numCache>
                <c:formatCode>#,##0_);[Red]\(#,##0\)</c:formatCode>
                <c:ptCount val="81"/>
                <c:pt idx="0">
                  <c:v>541000</c:v>
                </c:pt>
                <c:pt idx="1">
                  <c:v>541000</c:v>
                </c:pt>
                <c:pt idx="2">
                  <c:v>541000</c:v>
                </c:pt>
                <c:pt idx="3">
                  <c:v>541000</c:v>
                </c:pt>
                <c:pt idx="4">
                  <c:v>541000</c:v>
                </c:pt>
                <c:pt idx="5">
                  <c:v>541000</c:v>
                </c:pt>
                <c:pt idx="6">
                  <c:v>541000</c:v>
                </c:pt>
                <c:pt idx="7">
                  <c:v>541000</c:v>
                </c:pt>
                <c:pt idx="8">
                  <c:v>541000</c:v>
                </c:pt>
                <c:pt idx="9">
                  <c:v>541000</c:v>
                </c:pt>
                <c:pt idx="10">
                  <c:v>541000</c:v>
                </c:pt>
                <c:pt idx="11">
                  <c:v>541000</c:v>
                </c:pt>
                <c:pt idx="12">
                  <c:v>541000</c:v>
                </c:pt>
                <c:pt idx="13">
                  <c:v>541000</c:v>
                </c:pt>
                <c:pt idx="14">
                  <c:v>541000</c:v>
                </c:pt>
                <c:pt idx="15">
                  <c:v>541000</c:v>
                </c:pt>
                <c:pt idx="16">
                  <c:v>541000</c:v>
                </c:pt>
                <c:pt idx="17">
                  <c:v>541000</c:v>
                </c:pt>
                <c:pt idx="18">
                  <c:v>541000</c:v>
                </c:pt>
                <c:pt idx="19">
                  <c:v>541000</c:v>
                </c:pt>
                <c:pt idx="20">
                  <c:v>541000</c:v>
                </c:pt>
                <c:pt idx="21">
                  <c:v>541000</c:v>
                </c:pt>
                <c:pt idx="22">
                  <c:v>541000</c:v>
                </c:pt>
                <c:pt idx="23">
                  <c:v>541000</c:v>
                </c:pt>
                <c:pt idx="24">
                  <c:v>541000</c:v>
                </c:pt>
                <c:pt idx="25">
                  <c:v>541000</c:v>
                </c:pt>
                <c:pt idx="26">
                  <c:v>541000</c:v>
                </c:pt>
                <c:pt idx="27">
                  <c:v>541000</c:v>
                </c:pt>
                <c:pt idx="28">
                  <c:v>541000</c:v>
                </c:pt>
                <c:pt idx="29">
                  <c:v>541000</c:v>
                </c:pt>
                <c:pt idx="30">
                  <c:v>541000</c:v>
                </c:pt>
                <c:pt idx="31">
                  <c:v>541000</c:v>
                </c:pt>
                <c:pt idx="32">
                  <c:v>541000</c:v>
                </c:pt>
                <c:pt idx="33">
                  <c:v>541000</c:v>
                </c:pt>
                <c:pt idx="34">
                  <c:v>541000</c:v>
                </c:pt>
                <c:pt idx="35">
                  <c:v>541000</c:v>
                </c:pt>
                <c:pt idx="36">
                  <c:v>541000</c:v>
                </c:pt>
                <c:pt idx="37">
                  <c:v>541000</c:v>
                </c:pt>
                <c:pt idx="38">
                  <c:v>541000</c:v>
                </c:pt>
                <c:pt idx="39">
                  <c:v>556000</c:v>
                </c:pt>
                <c:pt idx="40">
                  <c:v>556000</c:v>
                </c:pt>
                <c:pt idx="41">
                  <c:v>556000</c:v>
                </c:pt>
                <c:pt idx="42">
                  <c:v>556000</c:v>
                </c:pt>
                <c:pt idx="43">
                  <c:v>556000</c:v>
                </c:pt>
                <c:pt idx="44">
                  <c:v>556000</c:v>
                </c:pt>
                <c:pt idx="45">
                  <c:v>556000</c:v>
                </c:pt>
                <c:pt idx="46">
                  <c:v>556000</c:v>
                </c:pt>
                <c:pt idx="47">
                  <c:v>556000</c:v>
                </c:pt>
                <c:pt idx="48">
                  <c:v>556000</c:v>
                </c:pt>
                <c:pt idx="49">
                  <c:v>556000</c:v>
                </c:pt>
                <c:pt idx="50">
                  <c:v>556000</c:v>
                </c:pt>
                <c:pt idx="51">
                  <c:v>564000</c:v>
                </c:pt>
                <c:pt idx="52">
                  <c:v>564000</c:v>
                </c:pt>
                <c:pt idx="53">
                  <c:v>564000</c:v>
                </c:pt>
                <c:pt idx="54">
                  <c:v>564000</c:v>
                </c:pt>
                <c:pt idx="55">
                  <c:v>564000</c:v>
                </c:pt>
                <c:pt idx="56">
                  <c:v>564000</c:v>
                </c:pt>
                <c:pt idx="57">
                  <c:v>564000</c:v>
                </c:pt>
                <c:pt idx="58">
                  <c:v>564000</c:v>
                </c:pt>
                <c:pt idx="59">
                  <c:v>564000</c:v>
                </c:pt>
                <c:pt idx="60">
                  <c:v>564000</c:v>
                </c:pt>
                <c:pt idx="61">
                  <c:v>564000</c:v>
                </c:pt>
                <c:pt idx="62">
                  <c:v>564000</c:v>
                </c:pt>
                <c:pt idx="63">
                  <c:v>574000</c:v>
                </c:pt>
                <c:pt idx="64">
                  <c:v>574000</c:v>
                </c:pt>
                <c:pt idx="65">
                  <c:v>574000</c:v>
                </c:pt>
                <c:pt idx="66">
                  <c:v>574000</c:v>
                </c:pt>
                <c:pt idx="67">
                  <c:v>574000</c:v>
                </c:pt>
                <c:pt idx="68">
                  <c:v>574000</c:v>
                </c:pt>
                <c:pt idx="69">
                  <c:v>574000</c:v>
                </c:pt>
                <c:pt idx="70">
                  <c:v>574000</c:v>
                </c:pt>
                <c:pt idx="71">
                  <c:v>574000</c:v>
                </c:pt>
                <c:pt idx="72">
                  <c:v>574000</c:v>
                </c:pt>
                <c:pt idx="73">
                  <c:v>574000</c:v>
                </c:pt>
                <c:pt idx="74">
                  <c:v>574000</c:v>
                </c:pt>
                <c:pt idx="75">
                  <c:v>600000</c:v>
                </c:pt>
                <c:pt idx="76">
                  <c:v>600000</c:v>
                </c:pt>
                <c:pt idx="77">
                  <c:v>600000</c:v>
                </c:pt>
                <c:pt idx="78">
                  <c:v>600000</c:v>
                </c:pt>
                <c:pt idx="79">
                  <c:v>600000</c:v>
                </c:pt>
                <c:pt idx="80">
                  <c:v>600000</c:v>
                </c:pt>
              </c:numCache>
            </c:numRef>
          </c:val>
          <c:smooth val="0"/>
          <c:extLst>
            <c:ext xmlns:c16="http://schemas.microsoft.com/office/drawing/2014/chart" uri="{C3380CC4-5D6E-409C-BE32-E72D297353CC}">
              <c16:uniqueId val="{00000004-415B-4F01-B00D-0491EA7F2BFC}"/>
            </c:ext>
          </c:extLst>
        </c:ser>
        <c:dLbls>
          <c:showLegendKey val="0"/>
          <c:showVal val="0"/>
          <c:showCatName val="0"/>
          <c:showSerName val="0"/>
          <c:showPercent val="0"/>
          <c:showBubbleSize val="0"/>
        </c:dLbls>
        <c:marker val="1"/>
        <c:smooth val="0"/>
        <c:axId val="207226384"/>
        <c:axId val="207965824"/>
      </c:lineChart>
      <c:catAx>
        <c:axId val="207226384"/>
        <c:scaling>
          <c:orientation val="minMax"/>
        </c:scaling>
        <c:delete val="0"/>
        <c:axPos val="t"/>
        <c:numFmt formatCode="General" sourceLinked="0"/>
        <c:majorTickMark val="out"/>
        <c:minorTickMark val="none"/>
        <c:tickLblPos val="nextTo"/>
        <c:crossAx val="207965824"/>
        <c:crosses val="max"/>
        <c:auto val="1"/>
        <c:lblAlgn val="ctr"/>
        <c:lblOffset val="100"/>
        <c:noMultiLvlLbl val="0"/>
      </c:catAx>
      <c:valAx>
        <c:axId val="207965824"/>
        <c:scaling>
          <c:orientation val="minMax"/>
          <c:max val="970000"/>
          <c:min val="350000"/>
        </c:scaling>
        <c:delete val="0"/>
        <c:axPos val="l"/>
        <c:majorGridlines/>
        <c:minorGridlines>
          <c:spPr>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c:spPr>
        </c:minorGridlines>
        <c:numFmt formatCode="#,##0_);[Red]\(#,##0\)" sourceLinked="1"/>
        <c:majorTickMark val="out"/>
        <c:minorTickMark val="in"/>
        <c:tickLblPos val="nextTo"/>
        <c:spPr>
          <a:ln w="6350"/>
        </c:spPr>
        <c:txPr>
          <a:bodyPr/>
          <a:lstStyle/>
          <a:p>
            <a:pPr>
              <a:defRPr sz="1600"/>
            </a:pPr>
            <a:endParaRPr lang="ja-JP"/>
          </a:p>
        </c:txPr>
        <c:crossAx val="207226384"/>
        <c:crosses val="autoZero"/>
        <c:crossBetween val="between"/>
        <c:minorUnit val="10000"/>
      </c:valAx>
    </c:plotArea>
    <c:legend>
      <c:legendPos val="r"/>
      <c:layout>
        <c:manualLayout>
          <c:xMode val="edge"/>
          <c:yMode val="edge"/>
          <c:x val="0.75378034201954602"/>
          <c:y val="0.10687570494022107"/>
          <c:w val="0.15719802268211702"/>
          <c:h val="0.21142611422162619"/>
        </c:manualLayout>
      </c:layout>
      <c:overlay val="0"/>
    </c:legend>
    <c:plotVisOnly val="1"/>
    <c:dispBlanksAs val="gap"/>
    <c:showDLblsOverMax val="0"/>
  </c:chart>
  <c:printSettings>
    <c:headerFooter/>
    <c:pageMargins b="0.53" l="0.28999999999999998" r="0.35" t="0.42"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23603</xdr:colOff>
      <xdr:row>7</xdr:row>
      <xdr:rowOff>25425</xdr:rowOff>
    </xdr:from>
    <xdr:to>
      <xdr:col>110</xdr:col>
      <xdr:colOff>557892</xdr:colOff>
      <xdr:row>59</xdr:row>
      <xdr:rowOff>93675</xdr:rowOff>
    </xdr:to>
    <xdr:graphicFrame macro="">
      <xdr:nvGraphicFramePr>
        <xdr:cNvPr id="4" name="グラフ 3">
          <a:extLst>
            <a:ext uri="{FF2B5EF4-FFF2-40B4-BE49-F238E27FC236}">
              <a16:creationId xmlns:a16="http://schemas.microsoft.com/office/drawing/2014/main" id="{851703D4-549C-4831-BCF4-08884C9A21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1&#20107;&#26989;&#20108;&#35506;/R5&#24180;&#23376;&#29275;&#20385;&#26684;&#36895;&#22577;.xlsx" TargetMode="External"/><Relationship Id="rId2" Type="http://schemas.openxmlformats.org/officeDocument/2006/relationships/externalLinkPath" Target="file:///\\Chiku46fs01\&#20849;&#26377;&#25991;&#26360;\21&#20107;&#26989;&#20108;&#35506;\R5&#24180;&#23376;&#29275;&#20385;&#26684;&#36895;&#22577;.xlsx" TargetMode="External"/><Relationship Id="rId1" Type="http://schemas.openxmlformats.org/officeDocument/2006/relationships/externalLinkPath" Target="/21&#20107;&#26989;&#20108;&#35506;/R5&#24180;&#23376;&#29275;&#20385;&#26684;&#36895;&#225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１月"/>
      <sheetName val="2月"/>
      <sheetName val="3月"/>
      <sheetName val="4月"/>
      <sheetName val="5月"/>
      <sheetName val="6月"/>
      <sheetName val="7月"/>
      <sheetName val="8月"/>
      <sheetName val="9月"/>
      <sheetName val="10月"/>
      <sheetName val="11月"/>
      <sheetName val="12月"/>
      <sheetName val="価格推移グラフ"/>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EC3">
            <v>460102.36250000005</v>
          </cell>
        </row>
        <row r="4">
          <cell r="EC4">
            <v>582697.01875000005</v>
          </cell>
        </row>
        <row r="5">
          <cell r="EC5">
            <v>525570.375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GE50"/>
  <sheetViews>
    <sheetView topLeftCell="C1" zoomScaleNormal="100" workbookViewId="0">
      <selection activeCell="I28" sqref="I28"/>
    </sheetView>
  </sheetViews>
  <sheetFormatPr defaultRowHeight="13.5" x14ac:dyDescent="0.15"/>
  <cols>
    <col min="1" max="1" width="7.625" style="13" customWidth="1"/>
    <col min="2" max="2" width="8" style="56" customWidth="1"/>
    <col min="3" max="3" width="11.25" style="135" customWidth="1"/>
    <col min="4" max="4" width="9" style="13"/>
    <col min="5" max="5" width="9.25" style="13" bestFit="1" customWidth="1"/>
    <col min="6" max="6" width="9" style="13"/>
    <col min="7" max="7" width="9.25" style="13" bestFit="1" customWidth="1"/>
    <col min="8" max="9" width="9" style="13"/>
    <col min="10" max="10" width="9" style="13" customWidth="1"/>
    <col min="11" max="11" width="9" style="5"/>
    <col min="12" max="13" width="10.5" bestFit="1" customWidth="1"/>
  </cols>
  <sheetData>
    <row r="1" spans="1:187" ht="20.100000000000001" customHeight="1" x14ac:dyDescent="0.15">
      <c r="A1" s="18" t="s">
        <v>149</v>
      </c>
      <c r="B1" s="19"/>
      <c r="C1" s="130" t="s">
        <v>46</v>
      </c>
      <c r="D1" s="20"/>
      <c r="E1" s="20" t="s">
        <v>41</v>
      </c>
      <c r="F1" s="20"/>
      <c r="G1" s="12"/>
      <c r="H1" s="12"/>
      <c r="I1" s="12" t="s">
        <v>42</v>
      </c>
      <c r="J1" s="12"/>
    </row>
    <row r="2" spans="1:187" ht="20.100000000000001" customHeight="1" x14ac:dyDescent="0.15">
      <c r="A2" s="17"/>
      <c r="B2" s="11"/>
      <c r="C2" s="50"/>
      <c r="D2" s="12"/>
      <c r="E2" s="12"/>
      <c r="F2" s="12"/>
      <c r="G2" s="12"/>
      <c r="H2" s="12"/>
      <c r="I2" s="14" t="s">
        <v>43</v>
      </c>
      <c r="J2" s="12"/>
    </row>
    <row r="3" spans="1:187" ht="20.100000000000001" customHeight="1" x14ac:dyDescent="0.15">
      <c r="A3" s="231" t="s">
        <v>0</v>
      </c>
      <c r="B3" s="232" t="s">
        <v>1</v>
      </c>
      <c r="C3" s="232" t="s">
        <v>2</v>
      </c>
      <c r="D3" s="230" t="s">
        <v>5</v>
      </c>
      <c r="E3" s="230"/>
      <c r="F3" s="230" t="s">
        <v>6</v>
      </c>
      <c r="G3" s="230"/>
      <c r="H3" s="230" t="s">
        <v>7</v>
      </c>
      <c r="I3" s="230"/>
      <c r="J3" s="230" t="s">
        <v>8</v>
      </c>
    </row>
    <row r="4" spans="1:187" ht="20.100000000000001" customHeight="1" x14ac:dyDescent="0.15">
      <c r="A4" s="231"/>
      <c r="B4" s="232"/>
      <c r="C4" s="232"/>
      <c r="D4" s="23" t="s">
        <v>3</v>
      </c>
      <c r="E4" s="23" t="s">
        <v>4</v>
      </c>
      <c r="F4" s="23" t="s">
        <v>3</v>
      </c>
      <c r="G4" s="23" t="s">
        <v>4</v>
      </c>
      <c r="H4" s="23" t="s">
        <v>3</v>
      </c>
      <c r="I4" s="23" t="s">
        <v>4</v>
      </c>
      <c r="J4" s="230"/>
      <c r="L4" s="5" t="s">
        <v>3</v>
      </c>
      <c r="M4" s="5" t="s">
        <v>4</v>
      </c>
      <c r="N4" s="5" t="s">
        <v>8</v>
      </c>
    </row>
    <row r="5" spans="1:187" s="25" customFormat="1" ht="20.100000000000001" customHeight="1" x14ac:dyDescent="0.15">
      <c r="A5" s="67" t="s">
        <v>9</v>
      </c>
      <c r="B5" s="90">
        <v>46023</v>
      </c>
      <c r="C5" s="69" t="s">
        <v>83</v>
      </c>
      <c r="D5" s="68"/>
      <c r="E5" s="68"/>
      <c r="F5" s="68"/>
      <c r="G5" s="68"/>
      <c r="H5" s="68"/>
      <c r="I5" s="68"/>
      <c r="J5" s="68"/>
      <c r="K5" s="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row>
    <row r="6" spans="1:187" s="25" customFormat="1" ht="20.100000000000001" customHeight="1" x14ac:dyDescent="0.15">
      <c r="A6" s="51" t="s">
        <v>10</v>
      </c>
      <c r="B6" s="91">
        <v>46024</v>
      </c>
      <c r="C6" s="131"/>
      <c r="D6" s="15"/>
      <c r="E6" s="15"/>
      <c r="F6" s="15"/>
      <c r="G6" s="15"/>
      <c r="H6" s="15"/>
      <c r="I6" s="15"/>
      <c r="J6" s="15"/>
      <c r="K6" s="5"/>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row>
    <row r="7" spans="1:187" s="25" customFormat="1" ht="20.100000000000001" customHeight="1" x14ac:dyDescent="0.15">
      <c r="A7" s="51" t="s">
        <v>11</v>
      </c>
      <c r="B7" s="91">
        <v>46025</v>
      </c>
      <c r="C7" s="132"/>
      <c r="D7" s="15"/>
      <c r="E7" s="15"/>
      <c r="F7" s="15"/>
      <c r="G7" s="15"/>
      <c r="H7" s="15"/>
      <c r="I7" s="15"/>
      <c r="J7" s="15"/>
      <c r="K7" s="5"/>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row>
    <row r="8" spans="1:187" s="25" customFormat="1" ht="20.100000000000001" customHeight="1" x14ac:dyDescent="0.15">
      <c r="A8" s="67" t="s">
        <v>12</v>
      </c>
      <c r="B8" s="114">
        <v>46026</v>
      </c>
      <c r="C8" s="133"/>
      <c r="D8" s="68"/>
      <c r="E8" s="68"/>
      <c r="F8" s="68"/>
      <c r="G8" s="68"/>
      <c r="H8" s="68"/>
      <c r="I8" s="68"/>
      <c r="J8" s="68"/>
      <c r="K8" s="5"/>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row>
    <row r="9" spans="1:187" ht="20.100000000000001" customHeight="1" x14ac:dyDescent="0.15">
      <c r="A9" s="51" t="s">
        <v>13</v>
      </c>
      <c r="B9" s="91">
        <v>46027</v>
      </c>
      <c r="C9" s="136" t="s">
        <v>163</v>
      </c>
      <c r="D9" s="15">
        <v>156</v>
      </c>
      <c r="E9" s="15">
        <f>614731*1.1</f>
        <v>676204.10000000009</v>
      </c>
      <c r="F9" s="15">
        <v>241</v>
      </c>
      <c r="G9" s="15">
        <f>704556*1.1</f>
        <v>775011.60000000009</v>
      </c>
      <c r="H9" s="15">
        <v>397</v>
      </c>
      <c r="I9" s="15">
        <f>669259*1.1</f>
        <v>736184.9</v>
      </c>
      <c r="J9" s="15">
        <f>94389*1.1</f>
        <v>103827.90000000001</v>
      </c>
    </row>
    <row r="10" spans="1:187" ht="19.5" customHeight="1" x14ac:dyDescent="0.15">
      <c r="A10" s="51" t="s">
        <v>14</v>
      </c>
      <c r="B10" s="91">
        <v>46028</v>
      </c>
      <c r="C10" s="137" t="s">
        <v>164</v>
      </c>
      <c r="D10" s="15">
        <v>101</v>
      </c>
      <c r="E10" s="15">
        <f>616495*1.1</f>
        <v>678144.5</v>
      </c>
      <c r="F10" s="15">
        <v>141</v>
      </c>
      <c r="G10" s="15">
        <f>716872*1.1</f>
        <v>788559.20000000007</v>
      </c>
      <c r="H10" s="15">
        <v>242</v>
      </c>
      <c r="I10" s="15">
        <f>674979*1.1</f>
        <v>742476.9</v>
      </c>
      <c r="J10" s="15">
        <f>91824*1.1</f>
        <v>101006.40000000001</v>
      </c>
    </row>
    <row r="11" spans="1:187" ht="20.100000000000001" customHeight="1" x14ac:dyDescent="0.15">
      <c r="A11" s="51" t="s">
        <v>15</v>
      </c>
      <c r="B11" s="91">
        <v>46029</v>
      </c>
      <c r="C11" s="137" t="s">
        <v>165</v>
      </c>
      <c r="D11" s="15">
        <v>59</v>
      </c>
      <c r="E11" s="15">
        <f>603831*1.1</f>
        <v>664214.10000000009</v>
      </c>
      <c r="F11" s="15">
        <v>80</v>
      </c>
      <c r="G11" s="15">
        <f>717413*1.1</f>
        <v>789154.3</v>
      </c>
      <c r="H11" s="15">
        <v>139</v>
      </c>
      <c r="I11" s="15">
        <f>669201*1.1</f>
        <v>736121.10000000009</v>
      </c>
      <c r="J11" s="15">
        <f>86046*1.1</f>
        <v>94650.6</v>
      </c>
    </row>
    <row r="12" spans="1:187" ht="20.100000000000001" customHeight="1" x14ac:dyDescent="0.15">
      <c r="A12" s="51" t="s">
        <v>16</v>
      </c>
      <c r="B12" s="91">
        <v>46030</v>
      </c>
      <c r="C12" s="136" t="s">
        <v>166</v>
      </c>
      <c r="D12" s="15">
        <v>178</v>
      </c>
      <c r="E12" s="15">
        <f>619084*1.1</f>
        <v>680992.4</v>
      </c>
      <c r="F12" s="15">
        <v>250</v>
      </c>
      <c r="G12" s="15">
        <f>710660*1.1</f>
        <v>781726.00000000012</v>
      </c>
      <c r="H12" s="15">
        <v>428</v>
      </c>
      <c r="I12" s="15">
        <f>672575*1.1</f>
        <v>739832.50000000012</v>
      </c>
      <c r="J12" s="15">
        <f>27500*1.1</f>
        <v>30250.000000000004</v>
      </c>
    </row>
    <row r="13" spans="1:187" ht="20.100000000000001" customHeight="1" x14ac:dyDescent="0.15">
      <c r="A13" s="51" t="s">
        <v>17</v>
      </c>
      <c r="B13" s="91">
        <v>46031</v>
      </c>
      <c r="C13" s="136" t="s">
        <v>167</v>
      </c>
      <c r="D13" s="15">
        <v>141</v>
      </c>
      <c r="E13" s="15">
        <f>624142*1.1</f>
        <v>686556.20000000007</v>
      </c>
      <c r="F13" s="15">
        <v>131</v>
      </c>
      <c r="G13" s="15">
        <f>719397*1.1</f>
        <v>791336.70000000007</v>
      </c>
      <c r="H13" s="15">
        <v>272</v>
      </c>
      <c r="I13" s="15">
        <f>670018*1.1</f>
        <v>737019.8</v>
      </c>
      <c r="J13" s="15">
        <f>24944*1.1</f>
        <v>27438.400000000001</v>
      </c>
    </row>
    <row r="14" spans="1:187" ht="20.100000000000001" customHeight="1" x14ac:dyDescent="0.15">
      <c r="A14" s="92" t="s">
        <v>18</v>
      </c>
      <c r="B14" s="91">
        <v>46032</v>
      </c>
      <c r="C14" s="138" t="s">
        <v>168</v>
      </c>
      <c r="D14" s="15">
        <v>77</v>
      </c>
      <c r="E14" s="15">
        <f>597792*1.1</f>
        <v>657571.20000000007</v>
      </c>
      <c r="F14" s="15">
        <v>94</v>
      </c>
      <c r="G14" s="15">
        <f>708426*1.1</f>
        <v>779268.60000000009</v>
      </c>
      <c r="H14" s="15">
        <v>171</v>
      </c>
      <c r="I14" s="15">
        <f>658608*1.1</f>
        <v>724468.8</v>
      </c>
      <c r="J14" s="15">
        <f>101271*1.1</f>
        <v>111398.1</v>
      </c>
    </row>
    <row r="15" spans="1:187" ht="20.100000000000001" customHeight="1" x14ac:dyDescent="0.15">
      <c r="A15" s="67" t="s">
        <v>19</v>
      </c>
      <c r="B15" s="114">
        <v>46033</v>
      </c>
      <c r="C15" s="139" t="s">
        <v>169</v>
      </c>
      <c r="D15" s="68">
        <v>85</v>
      </c>
      <c r="E15" s="68">
        <f>598506*1.1</f>
        <v>658356.60000000009</v>
      </c>
      <c r="F15" s="68">
        <v>87</v>
      </c>
      <c r="G15" s="68">
        <f>716736*1.1</f>
        <v>788409.60000000009</v>
      </c>
      <c r="H15" s="68">
        <v>172</v>
      </c>
      <c r="I15" s="68">
        <f>658308*1.1</f>
        <v>724138.8</v>
      </c>
      <c r="J15" s="68">
        <f>109629*1.1</f>
        <v>120591.90000000001</v>
      </c>
      <c r="K15" s="5" t="s">
        <v>225</v>
      </c>
      <c r="L15" s="1">
        <v>1821</v>
      </c>
      <c r="M15" s="1">
        <f>668873*1.1</f>
        <v>735760.3</v>
      </c>
      <c r="N15" s="1">
        <f>95487*1.1</f>
        <v>105035.70000000001</v>
      </c>
    </row>
    <row r="16" spans="1:187" ht="19.899999999999999" customHeight="1" x14ac:dyDescent="0.15">
      <c r="A16" s="67" t="s">
        <v>20</v>
      </c>
      <c r="B16" s="114">
        <v>46034</v>
      </c>
      <c r="C16" s="69" t="s">
        <v>170</v>
      </c>
      <c r="D16" s="68"/>
      <c r="E16" s="68"/>
      <c r="F16" s="68"/>
      <c r="G16" s="68"/>
      <c r="H16" s="68"/>
      <c r="I16" s="68"/>
      <c r="J16" s="68"/>
      <c r="L16" s="64"/>
    </row>
    <row r="17" spans="1:14" ht="20.100000000000001" customHeight="1" x14ac:dyDescent="0.15">
      <c r="A17" s="51" t="s">
        <v>21</v>
      </c>
      <c r="B17" s="91">
        <v>46035</v>
      </c>
      <c r="C17" s="131"/>
      <c r="D17" s="15"/>
      <c r="E17" s="15"/>
      <c r="F17" s="15"/>
      <c r="G17" s="15"/>
      <c r="H17" s="15"/>
      <c r="I17" s="15"/>
      <c r="J17" s="15"/>
    </row>
    <row r="18" spans="1:14" ht="20.100000000000001" customHeight="1" x14ac:dyDescent="0.15">
      <c r="A18" s="51" t="s">
        <v>22</v>
      </c>
      <c r="B18" s="91">
        <v>46036</v>
      </c>
      <c r="C18" s="136" t="s">
        <v>171</v>
      </c>
      <c r="D18" s="15">
        <v>148</v>
      </c>
      <c r="E18" s="15">
        <f>638628*1.1</f>
        <v>702490.8</v>
      </c>
      <c r="F18" s="15">
        <v>140</v>
      </c>
      <c r="G18" s="15">
        <f>726193*1.1</f>
        <v>798812.3</v>
      </c>
      <c r="H18" s="15">
        <v>288</v>
      </c>
      <c r="I18" s="15">
        <f>681194*1.1</f>
        <v>749313.4</v>
      </c>
      <c r="J18" s="15">
        <f>-8264*1.1</f>
        <v>-9090.4000000000015</v>
      </c>
    </row>
    <row r="19" spans="1:14" ht="20.100000000000001" customHeight="1" x14ac:dyDescent="0.15">
      <c r="A19" s="51" t="s">
        <v>23</v>
      </c>
      <c r="B19" s="91">
        <v>46037</v>
      </c>
      <c r="C19" s="136" t="s">
        <v>171</v>
      </c>
      <c r="D19" s="15">
        <v>101</v>
      </c>
      <c r="E19" s="15">
        <f>637663*1.1</f>
        <v>701429.3</v>
      </c>
      <c r="F19" s="15">
        <v>163</v>
      </c>
      <c r="G19" s="15">
        <f>724190*1.1</f>
        <v>796609.00000000012</v>
      </c>
      <c r="H19" s="15">
        <v>264</v>
      </c>
      <c r="I19" s="15">
        <f>691087*1.1</f>
        <v>760195.70000000007</v>
      </c>
      <c r="J19" s="15">
        <f>1629*1.1</f>
        <v>1791.9</v>
      </c>
    </row>
    <row r="20" spans="1:14" ht="20.100000000000001" customHeight="1" x14ac:dyDescent="0.15">
      <c r="A20" s="51" t="s">
        <v>24</v>
      </c>
      <c r="B20" s="91">
        <v>46038</v>
      </c>
      <c r="C20" s="136" t="s">
        <v>172</v>
      </c>
      <c r="D20" s="15">
        <v>82</v>
      </c>
      <c r="E20" s="15">
        <f>638622*1.1</f>
        <v>702484.20000000007</v>
      </c>
      <c r="F20" s="15">
        <v>169</v>
      </c>
      <c r="G20" s="15">
        <f>755982*1.1</f>
        <v>831580.20000000007</v>
      </c>
      <c r="H20" s="15">
        <v>251</v>
      </c>
      <c r="I20" s="15">
        <f>717641*1.1</f>
        <v>789405.10000000009</v>
      </c>
      <c r="J20" s="15">
        <f>48421*1.1</f>
        <v>53263.100000000006</v>
      </c>
    </row>
    <row r="21" spans="1:14" ht="20.100000000000001" customHeight="1" x14ac:dyDescent="0.15">
      <c r="A21" s="51" t="s">
        <v>25</v>
      </c>
      <c r="B21" s="91">
        <v>46039</v>
      </c>
      <c r="C21" s="136" t="s">
        <v>172</v>
      </c>
      <c r="D21" s="15">
        <v>229</v>
      </c>
      <c r="E21" s="15">
        <f>649092*1.1</f>
        <v>714001.20000000007</v>
      </c>
      <c r="F21" s="15">
        <v>270</v>
      </c>
      <c r="G21" s="15">
        <f>756359*1.1</f>
        <v>831994.9</v>
      </c>
      <c r="H21" s="15">
        <v>499</v>
      </c>
      <c r="I21" s="15">
        <f>707132*1.1</f>
        <v>777845.20000000007</v>
      </c>
      <c r="J21" s="15">
        <f>39090*1.1</f>
        <v>42999</v>
      </c>
      <c r="M21" s="1"/>
    </row>
    <row r="22" spans="1:14" ht="20.100000000000001" customHeight="1" x14ac:dyDescent="0.15">
      <c r="A22" s="67" t="s">
        <v>26</v>
      </c>
      <c r="B22" s="114">
        <v>46040</v>
      </c>
      <c r="C22" s="115"/>
      <c r="D22" s="68"/>
      <c r="E22" s="68"/>
      <c r="F22" s="68"/>
      <c r="G22" s="68"/>
      <c r="H22" s="68"/>
      <c r="I22" s="68"/>
      <c r="J22" s="68"/>
    </row>
    <row r="23" spans="1:14" ht="20.100000000000001" customHeight="1" x14ac:dyDescent="0.15">
      <c r="A23" s="51" t="s">
        <v>27</v>
      </c>
      <c r="B23" s="91">
        <v>46041</v>
      </c>
      <c r="C23" s="136" t="s">
        <v>173</v>
      </c>
      <c r="D23" s="15">
        <v>183</v>
      </c>
      <c r="E23" s="15">
        <f>638694*1.1</f>
        <v>702563.4</v>
      </c>
      <c r="F23" s="15">
        <v>234</v>
      </c>
      <c r="G23" s="15">
        <f>758171*1.1</f>
        <v>833988.10000000009</v>
      </c>
      <c r="H23" s="15">
        <v>417</v>
      </c>
      <c r="I23" s="15">
        <f>705739*1.1</f>
        <v>776312.9</v>
      </c>
      <c r="J23" s="15">
        <f>33124*1.1</f>
        <v>36436.400000000001</v>
      </c>
    </row>
    <row r="24" spans="1:14" ht="19.5" customHeight="1" x14ac:dyDescent="0.15">
      <c r="A24" s="51" t="s">
        <v>28</v>
      </c>
      <c r="B24" s="91">
        <v>46042</v>
      </c>
      <c r="C24" s="136" t="s">
        <v>174</v>
      </c>
      <c r="D24" s="15">
        <v>135</v>
      </c>
      <c r="E24" s="15">
        <f>658904*1.1</f>
        <v>724794.4</v>
      </c>
      <c r="F24" s="15">
        <v>199</v>
      </c>
      <c r="G24" s="15">
        <f>762377*1.1</f>
        <v>838614.70000000007</v>
      </c>
      <c r="H24" s="15">
        <v>334</v>
      </c>
      <c r="I24" s="15">
        <f>720554*1.1</f>
        <v>792609.4</v>
      </c>
      <c r="J24" s="15">
        <f>58096*1.1</f>
        <v>63905.600000000006</v>
      </c>
    </row>
    <row r="25" spans="1:14" ht="19.5" customHeight="1" x14ac:dyDescent="0.15">
      <c r="A25" s="51" t="s">
        <v>29</v>
      </c>
      <c r="B25" s="91">
        <v>46043</v>
      </c>
      <c r="C25" s="136" t="s">
        <v>175</v>
      </c>
      <c r="D25" s="15">
        <v>167</v>
      </c>
      <c r="E25" s="15">
        <f>643479*1.1</f>
        <v>707826.9</v>
      </c>
      <c r="F25" s="15">
        <v>217</v>
      </c>
      <c r="G25" s="15">
        <f>737645*1.1</f>
        <v>811409.50000000012</v>
      </c>
      <c r="H25" s="15">
        <v>384</v>
      </c>
      <c r="I25" s="15">
        <f>696693*1.1</f>
        <v>766362.3</v>
      </c>
      <c r="J25" s="15">
        <f>-2124*1.1</f>
        <v>-2336.4</v>
      </c>
    </row>
    <row r="26" spans="1:14" ht="20.100000000000001" customHeight="1" x14ac:dyDescent="0.15">
      <c r="A26" s="51" t="s">
        <v>30</v>
      </c>
      <c r="B26" s="91">
        <v>46044</v>
      </c>
      <c r="C26" s="136" t="s">
        <v>175</v>
      </c>
      <c r="D26" s="15">
        <v>189</v>
      </c>
      <c r="E26" s="15">
        <f>644894*1.1</f>
        <v>709383.4</v>
      </c>
      <c r="F26" s="15">
        <v>230</v>
      </c>
      <c r="G26" s="15">
        <f>750478*1.1</f>
        <v>825525.8</v>
      </c>
      <c r="H26" s="15">
        <v>419</v>
      </c>
      <c r="I26" s="15">
        <f>702852*1.1</f>
        <v>773137.20000000007</v>
      </c>
      <c r="J26" s="15">
        <f>4035*1.1</f>
        <v>4438.5</v>
      </c>
    </row>
    <row r="27" spans="1:14" ht="20.100000000000001" customHeight="1" x14ac:dyDescent="0.15">
      <c r="A27" s="51" t="s">
        <v>31</v>
      </c>
      <c r="B27" s="91">
        <v>46045</v>
      </c>
      <c r="C27" s="136" t="s">
        <v>176</v>
      </c>
      <c r="D27" s="15">
        <v>196</v>
      </c>
      <c r="E27" s="15">
        <f>638990*1.1</f>
        <v>702889</v>
      </c>
      <c r="F27" s="15">
        <v>180</v>
      </c>
      <c r="G27" s="15">
        <f>747106*1.1</f>
        <v>821816.60000000009</v>
      </c>
      <c r="H27" s="15">
        <v>376</v>
      </c>
      <c r="I27" s="15">
        <f>690747*1.1</f>
        <v>759821.70000000007</v>
      </c>
      <c r="J27" s="15">
        <f>-8070*1.1</f>
        <v>-8877</v>
      </c>
      <c r="K27" s="5" t="s">
        <v>227</v>
      </c>
      <c r="L27" s="1">
        <f>SUM(H25:H27)</f>
        <v>1179</v>
      </c>
      <c r="M27" s="1">
        <f>696946*1.1</f>
        <v>766640.60000000009</v>
      </c>
      <c r="N27" s="1">
        <f>-1871*1.1</f>
        <v>-2058.1000000000004</v>
      </c>
    </row>
    <row r="28" spans="1:14" ht="20.100000000000001" customHeight="1" x14ac:dyDescent="0.15">
      <c r="A28" s="51" t="s">
        <v>32</v>
      </c>
      <c r="B28" s="91">
        <v>46046</v>
      </c>
      <c r="C28" s="136" t="s">
        <v>177</v>
      </c>
      <c r="D28" s="15">
        <v>94</v>
      </c>
      <c r="E28" s="15">
        <f>656330*1.1</f>
        <v>721963.00000000012</v>
      </c>
      <c r="F28" s="15">
        <v>127</v>
      </c>
      <c r="G28" s="15">
        <f>774669*1.1</f>
        <v>852135.9</v>
      </c>
      <c r="H28" s="15">
        <v>221</v>
      </c>
      <c r="I28" s="15">
        <f>724335*1.1</f>
        <v>796768.50000000012</v>
      </c>
      <c r="J28" s="15">
        <f>96033*1.1</f>
        <v>105636.3</v>
      </c>
    </row>
    <row r="29" spans="1:14" ht="20.100000000000001" customHeight="1" x14ac:dyDescent="0.15">
      <c r="A29" s="67" t="s">
        <v>33</v>
      </c>
      <c r="B29" s="114">
        <v>46047</v>
      </c>
      <c r="C29" s="115"/>
      <c r="D29" s="68"/>
      <c r="E29" s="68"/>
      <c r="F29" s="68"/>
      <c r="G29" s="68"/>
      <c r="H29" s="68"/>
      <c r="I29" s="68"/>
      <c r="J29" s="68"/>
      <c r="N29" s="93"/>
    </row>
    <row r="30" spans="1:14" ht="20.100000000000001" customHeight="1" x14ac:dyDescent="0.15">
      <c r="A30" s="51" t="s">
        <v>34</v>
      </c>
      <c r="B30" s="91">
        <v>46048</v>
      </c>
      <c r="C30" s="136" t="s">
        <v>178</v>
      </c>
      <c r="D30" s="15">
        <v>148</v>
      </c>
      <c r="E30" s="15">
        <f>649642*1.1</f>
        <v>714606.20000000007</v>
      </c>
      <c r="F30" s="15">
        <v>205</v>
      </c>
      <c r="G30" s="15">
        <f>745810*1.1</f>
        <v>820391.00000000012</v>
      </c>
      <c r="H30" s="15">
        <v>353</v>
      </c>
      <c r="I30" s="15">
        <f>705490*1.1</f>
        <v>776039.00000000012</v>
      </c>
      <c r="J30" s="15">
        <f>9615*1.1</f>
        <v>10576.5</v>
      </c>
    </row>
    <row r="31" spans="1:14" ht="20.100000000000001" customHeight="1" x14ac:dyDescent="0.15">
      <c r="A31" s="51" t="s">
        <v>35</v>
      </c>
      <c r="B31" s="91">
        <v>46049</v>
      </c>
      <c r="C31" s="136" t="s">
        <v>178</v>
      </c>
      <c r="D31" s="15">
        <v>164</v>
      </c>
      <c r="E31" s="15">
        <f>653122*1.1</f>
        <v>718434.20000000007</v>
      </c>
      <c r="F31" s="15">
        <v>219</v>
      </c>
      <c r="G31" s="15">
        <f>753849*1.1</f>
        <v>829233.9</v>
      </c>
      <c r="H31" s="15">
        <v>383</v>
      </c>
      <c r="I31" s="15">
        <f>710718*1.1</f>
        <v>781789.8</v>
      </c>
      <c r="J31" s="15">
        <f>14843*1.1</f>
        <v>16327.300000000001</v>
      </c>
    </row>
    <row r="32" spans="1:14" ht="20.100000000000001" customHeight="1" x14ac:dyDescent="0.15">
      <c r="A32" s="51" t="s">
        <v>36</v>
      </c>
      <c r="B32" s="91">
        <v>46050</v>
      </c>
      <c r="C32" s="136" t="s">
        <v>178</v>
      </c>
      <c r="D32" s="15">
        <v>171</v>
      </c>
      <c r="E32" s="15">
        <f>648398*1.1</f>
        <v>713237.8</v>
      </c>
      <c r="F32" s="15">
        <v>162</v>
      </c>
      <c r="G32" s="15">
        <f>750062*1.1</f>
        <v>825068.20000000007</v>
      </c>
      <c r="H32" s="15">
        <v>333</v>
      </c>
      <c r="I32" s="15">
        <f>697856*1.1</f>
        <v>767641.60000000009</v>
      </c>
      <c r="J32" s="15">
        <f>1981*1.1</f>
        <v>2179.1000000000004</v>
      </c>
      <c r="K32" s="5" t="s">
        <v>226</v>
      </c>
      <c r="L32" s="1">
        <f>SUM(H30:H32)</f>
        <v>1069</v>
      </c>
      <c r="M32" s="1">
        <f>704626*1.1</f>
        <v>775088.60000000009</v>
      </c>
      <c r="N32" s="1">
        <f>8751*1.1</f>
        <v>9626.1</v>
      </c>
    </row>
    <row r="33" spans="1:10" ht="20.100000000000001" customHeight="1" x14ac:dyDescent="0.15">
      <c r="A33" s="51" t="s">
        <v>37</v>
      </c>
      <c r="B33" s="91">
        <v>46051</v>
      </c>
      <c r="C33" s="132"/>
      <c r="D33" s="15"/>
      <c r="E33" s="15"/>
      <c r="F33" s="15"/>
      <c r="G33" s="15"/>
      <c r="H33" s="15"/>
      <c r="I33" s="15"/>
      <c r="J33" s="15"/>
    </row>
    <row r="34" spans="1:10" ht="20.100000000000001" customHeight="1" x14ac:dyDescent="0.15">
      <c r="A34" s="51" t="s">
        <v>38</v>
      </c>
      <c r="B34" s="91">
        <v>46052</v>
      </c>
      <c r="C34" s="132"/>
      <c r="D34" s="15"/>
      <c r="E34" s="15"/>
      <c r="F34" s="15"/>
      <c r="G34" s="15"/>
      <c r="H34" s="15"/>
      <c r="I34" s="15"/>
      <c r="J34" s="15"/>
    </row>
    <row r="35" spans="1:10" ht="20.100000000000001" customHeight="1" x14ac:dyDescent="0.15">
      <c r="A35" s="51" t="s">
        <v>39</v>
      </c>
      <c r="B35" s="91">
        <v>46053</v>
      </c>
      <c r="C35" s="132"/>
      <c r="D35" s="15"/>
      <c r="E35" s="15"/>
      <c r="F35" s="15"/>
      <c r="G35" s="15"/>
      <c r="H35" s="15"/>
      <c r="I35" s="15"/>
      <c r="J35" s="15"/>
    </row>
    <row r="36" spans="1:10" ht="21" customHeight="1" x14ac:dyDescent="0.15">
      <c r="A36" s="219" t="s">
        <v>40</v>
      </c>
      <c r="B36" s="220"/>
      <c r="C36" s="134"/>
      <c r="D36" s="15">
        <f>SUM(D5:D35)</f>
        <v>2804</v>
      </c>
      <c r="E36" s="15">
        <f>SUMPRODUCT(D5:D35,E5:E35)/D36</f>
        <v>700279.12446504983</v>
      </c>
      <c r="F36" s="15">
        <f>SUM(F5:F35)</f>
        <v>3539</v>
      </c>
      <c r="G36" s="15">
        <f>SUMPRODUCT(F5:F35,G5:G35)/F36</f>
        <v>812791.51028539147</v>
      </c>
      <c r="H36" s="15">
        <f>SUM(H5:H35)</f>
        <v>6343</v>
      </c>
      <c r="I36" s="15">
        <f>SUMPRODUCT(H5:H35,I5:I35)/H36</f>
        <v>763053.93042724265</v>
      </c>
      <c r="J36" s="15"/>
    </row>
    <row r="37" spans="1:10" ht="15" customHeight="1" x14ac:dyDescent="0.15">
      <c r="C37" s="50" t="s">
        <v>161</v>
      </c>
      <c r="H37" s="71" t="s">
        <v>103</v>
      </c>
      <c r="I37" s="72">
        <f>I36/1.1</f>
        <v>693685.39129749325</v>
      </c>
    </row>
    <row r="38" spans="1:10" ht="14.25" thickBot="1" x14ac:dyDescent="0.2">
      <c r="C38" s="135" t="s">
        <v>186</v>
      </c>
    </row>
    <row r="39" spans="1:10" ht="13.15" customHeight="1" thickTop="1" thickBot="1" x14ac:dyDescent="0.2">
      <c r="B39" s="11"/>
      <c r="C39" s="50"/>
      <c r="E39" s="36"/>
      <c r="F39" s="36"/>
      <c r="G39" s="36"/>
      <c r="H39" s="228" t="s">
        <v>100</v>
      </c>
      <c r="I39" s="229"/>
      <c r="J39" s="36"/>
    </row>
    <row r="40" spans="1:10" ht="14.25" thickTop="1" x14ac:dyDescent="0.15">
      <c r="C40" s="50"/>
      <c r="D40" s="46"/>
      <c r="E40" s="36"/>
      <c r="F40" s="36"/>
      <c r="H40" s="39" t="s">
        <v>99</v>
      </c>
      <c r="I40" s="75" t="s">
        <v>148</v>
      </c>
    </row>
    <row r="41" spans="1:10" x14ac:dyDescent="0.15">
      <c r="B41" s="11"/>
      <c r="C41" s="50"/>
      <c r="D41" s="46"/>
      <c r="E41" s="36"/>
      <c r="F41" s="36"/>
      <c r="G41" s="37"/>
      <c r="H41" s="31" t="s">
        <v>98</v>
      </c>
      <c r="I41" s="35">
        <f>I36</f>
        <v>763053.93042724265</v>
      </c>
      <c r="J41" s="36"/>
    </row>
    <row r="42" spans="1:10" x14ac:dyDescent="0.15">
      <c r="B42" s="11"/>
      <c r="C42" s="50"/>
      <c r="D42" s="46"/>
      <c r="E42" s="36"/>
      <c r="F42" s="36"/>
      <c r="G42" s="38"/>
      <c r="H42" s="30" t="s">
        <v>44</v>
      </c>
      <c r="I42" s="33">
        <f>SUM(価格推移グラフ!FA5)</f>
        <v>748369.68262374518</v>
      </c>
      <c r="J42" s="36"/>
    </row>
    <row r="43" spans="1:10" ht="14.25" thickBot="1" x14ac:dyDescent="0.2">
      <c r="B43" s="11"/>
      <c r="C43" s="50"/>
      <c r="D43" s="46"/>
      <c r="E43" s="36"/>
      <c r="F43" s="36"/>
      <c r="G43" s="36"/>
      <c r="H43" s="29" t="s">
        <v>45</v>
      </c>
      <c r="I43" s="34">
        <f>I41-I42</f>
        <v>14684.247803497477</v>
      </c>
      <c r="J43" s="36"/>
    </row>
    <row r="44" spans="1:10" ht="15" thickTop="1" thickBot="1" x14ac:dyDescent="0.2">
      <c r="B44" s="11"/>
      <c r="C44" s="50"/>
      <c r="D44" s="12"/>
      <c r="E44" s="12"/>
      <c r="J44" s="12"/>
    </row>
    <row r="45" spans="1:10" ht="15" thickTop="1" thickBot="1" x14ac:dyDescent="0.2">
      <c r="H45" s="228" t="s">
        <v>101</v>
      </c>
      <c r="I45" s="229"/>
    </row>
    <row r="46" spans="1:10" ht="14.25" thickTop="1" x14ac:dyDescent="0.15">
      <c r="H46" s="39" t="s">
        <v>99</v>
      </c>
      <c r="I46" s="75" t="s">
        <v>148</v>
      </c>
    </row>
    <row r="47" spans="1:10" x14ac:dyDescent="0.15">
      <c r="H47" s="31" t="s">
        <v>98</v>
      </c>
      <c r="I47" s="35">
        <f>I41</f>
        <v>763053.93042724265</v>
      </c>
    </row>
    <row r="48" spans="1:10" x14ac:dyDescent="0.15">
      <c r="H48" s="30" t="s">
        <v>77</v>
      </c>
      <c r="I48" s="33">
        <f>SUM(価格推移グラフ!EP5)</f>
        <v>520160.7638616988</v>
      </c>
    </row>
    <row r="49" spans="8:9" ht="14.25" thickBot="1" x14ac:dyDescent="0.2">
      <c r="H49" s="29" t="s">
        <v>78</v>
      </c>
      <c r="I49" s="34">
        <f>I47-I48</f>
        <v>242893.16656554386</v>
      </c>
    </row>
    <row r="50" spans="8:9" ht="14.25" thickTop="1" x14ac:dyDescent="0.15"/>
  </sheetData>
  <mergeCells count="10">
    <mergeCell ref="H45:I45"/>
    <mergeCell ref="A36:B36"/>
    <mergeCell ref="J3:J4"/>
    <mergeCell ref="A3:A4"/>
    <mergeCell ref="B3:B4"/>
    <mergeCell ref="C3:C4"/>
    <mergeCell ref="D3:E3"/>
    <mergeCell ref="F3:G3"/>
    <mergeCell ref="H3:I3"/>
    <mergeCell ref="H39:I39"/>
  </mergeCells>
  <phoneticPr fontId="1"/>
  <pageMargins left="0.64" right="0.7" top="0.42" bottom="0.34"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CC50"/>
  <sheetViews>
    <sheetView topLeftCell="A11" workbookViewId="0">
      <selection activeCell="L28" sqref="L28"/>
    </sheetView>
  </sheetViews>
  <sheetFormatPr defaultColWidth="8.875" defaultRowHeight="13.5" x14ac:dyDescent="0.15"/>
  <cols>
    <col min="1" max="1" width="7.375" style="106" customWidth="1"/>
    <col min="2" max="2" width="8.125" style="16" customWidth="1"/>
    <col min="3" max="3" width="9.5" style="9" customWidth="1"/>
    <col min="4" max="6" width="9" style="16"/>
    <col min="7" max="7" width="9.25" style="16" bestFit="1" customWidth="1"/>
    <col min="8" max="8" width="9" style="16"/>
    <col min="9" max="9" width="9.875" style="16" customWidth="1"/>
    <col min="10" max="10" width="8" style="16" customWidth="1"/>
    <col min="11" max="11" width="10.5" bestFit="1" customWidth="1"/>
  </cols>
  <sheetData>
    <row r="1" spans="1:81" s="97" customFormat="1" ht="21" customHeight="1" x14ac:dyDescent="0.15">
      <c r="A1" s="153" t="s">
        <v>150</v>
      </c>
      <c r="B1" s="112"/>
      <c r="C1" s="112"/>
      <c r="D1" s="104"/>
      <c r="E1" s="105" t="s">
        <v>41</v>
      </c>
      <c r="F1" s="104"/>
      <c r="G1" s="104"/>
      <c r="H1" s="104"/>
      <c r="I1" s="10" t="s">
        <v>42</v>
      </c>
      <c r="J1" s="104"/>
    </row>
    <row r="2" spans="1:81" ht="21" customHeight="1" thickBot="1" x14ac:dyDescent="0.2">
      <c r="A2" s="154"/>
      <c r="B2" s="107"/>
      <c r="C2" s="107"/>
      <c r="D2" s="10"/>
      <c r="E2" s="10"/>
      <c r="F2" s="10"/>
      <c r="G2" s="10"/>
      <c r="H2" s="10"/>
      <c r="I2" s="155" t="s">
        <v>43</v>
      </c>
      <c r="J2" s="10"/>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c r="CA2" s="97"/>
      <c r="CB2" s="97"/>
      <c r="CC2" s="97"/>
    </row>
    <row r="3" spans="1:81" ht="21" customHeight="1" x14ac:dyDescent="0.15">
      <c r="A3" s="239" t="s">
        <v>0</v>
      </c>
      <c r="B3" s="241" t="s">
        <v>1</v>
      </c>
      <c r="C3" s="241" t="s">
        <v>2</v>
      </c>
      <c r="D3" s="243" t="s">
        <v>84</v>
      </c>
      <c r="E3" s="244"/>
      <c r="F3" s="243" t="s">
        <v>6</v>
      </c>
      <c r="G3" s="244"/>
      <c r="H3" s="243" t="s">
        <v>7</v>
      </c>
      <c r="I3" s="244"/>
      <c r="J3" s="235" t="s">
        <v>8</v>
      </c>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row>
    <row r="4" spans="1:81" ht="21" customHeight="1" x14ac:dyDescent="0.15">
      <c r="A4" s="240"/>
      <c r="B4" s="242"/>
      <c r="C4" s="242"/>
      <c r="D4" s="99" t="s">
        <v>3</v>
      </c>
      <c r="E4" s="99" t="s">
        <v>4</v>
      </c>
      <c r="F4" s="99" t="s">
        <v>3</v>
      </c>
      <c r="G4" s="99" t="s">
        <v>4</v>
      </c>
      <c r="H4" s="99" t="s">
        <v>3</v>
      </c>
      <c r="I4" s="99" t="s">
        <v>4</v>
      </c>
      <c r="J4" s="236"/>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c r="BX4" s="97"/>
      <c r="BY4" s="97"/>
      <c r="BZ4" s="97"/>
      <c r="CA4" s="97"/>
      <c r="CB4" s="97"/>
      <c r="CC4" s="97"/>
    </row>
    <row r="5" spans="1:81" s="3" customFormat="1" ht="21" customHeight="1" x14ac:dyDescent="0.15">
      <c r="A5" s="94" t="s">
        <v>9</v>
      </c>
      <c r="B5" s="156">
        <v>46054</v>
      </c>
      <c r="C5" s="157"/>
      <c r="D5" s="95"/>
      <c r="E5" s="95"/>
      <c r="F5" s="95"/>
      <c r="G5" s="95"/>
      <c r="H5" s="95"/>
      <c r="I5" s="95"/>
      <c r="J5" s="96"/>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c r="BX5" s="97"/>
      <c r="BY5" s="97"/>
      <c r="BZ5" s="97"/>
      <c r="CA5" s="97"/>
      <c r="CB5" s="97"/>
      <c r="CC5" s="97"/>
    </row>
    <row r="6" spans="1:81" s="3" customFormat="1" ht="21" customHeight="1" x14ac:dyDescent="0.15">
      <c r="A6" s="94" t="s">
        <v>10</v>
      </c>
      <c r="B6" s="98">
        <v>46055</v>
      </c>
      <c r="D6" s="95"/>
      <c r="E6" s="95"/>
      <c r="F6" s="95"/>
      <c r="G6" s="95"/>
      <c r="H6" s="95"/>
      <c r="I6" s="95"/>
      <c r="J6" s="96"/>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row>
    <row r="7" spans="1:81" s="3" customFormat="1" ht="21" customHeight="1" x14ac:dyDescent="0.15">
      <c r="A7" s="94" t="s">
        <v>11</v>
      </c>
      <c r="B7" s="98">
        <v>46056</v>
      </c>
      <c r="C7" s="140" t="s">
        <v>179</v>
      </c>
      <c r="D7" s="95">
        <v>149</v>
      </c>
      <c r="E7" s="95">
        <f>641940*1.1</f>
        <v>706134</v>
      </c>
      <c r="F7" s="95">
        <v>169</v>
      </c>
      <c r="G7" s="95">
        <f>753071*1.1</f>
        <v>828378.10000000009</v>
      </c>
      <c r="H7" s="95">
        <v>318</v>
      </c>
      <c r="I7" s="95">
        <f>701000*1.1</f>
        <v>771100.00000000012</v>
      </c>
      <c r="J7" s="96">
        <f>76812*1.1</f>
        <v>84493.200000000012</v>
      </c>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c r="BV7" s="97"/>
      <c r="BW7" s="97"/>
      <c r="BX7" s="97"/>
      <c r="BY7" s="97"/>
      <c r="BZ7" s="97"/>
      <c r="CA7" s="97"/>
      <c r="CB7" s="97"/>
      <c r="CC7" s="97"/>
    </row>
    <row r="8" spans="1:81" s="3" customFormat="1" ht="21" customHeight="1" x14ac:dyDescent="0.15">
      <c r="A8" s="94" t="s">
        <v>12</v>
      </c>
      <c r="B8" s="98">
        <v>46057</v>
      </c>
      <c r="C8" s="140" t="s">
        <v>166</v>
      </c>
      <c r="D8" s="95">
        <v>180</v>
      </c>
      <c r="E8" s="95">
        <f>628222*1.1</f>
        <v>691044.20000000007</v>
      </c>
      <c r="F8" s="95">
        <v>249</v>
      </c>
      <c r="G8" s="95">
        <f>740755*1.1</f>
        <v>814830.50000000012</v>
      </c>
      <c r="H8" s="95">
        <v>429</v>
      </c>
      <c r="I8" s="95">
        <f>693538*1.1</f>
        <v>762891.8</v>
      </c>
      <c r="J8" s="96">
        <f>21957*1.1</f>
        <v>24152.7</v>
      </c>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7"/>
      <c r="BS8" s="97"/>
      <c r="BT8" s="97"/>
      <c r="BU8" s="97"/>
      <c r="BV8" s="97"/>
      <c r="BW8" s="97"/>
      <c r="BX8" s="97"/>
      <c r="BY8" s="97"/>
      <c r="BZ8" s="97"/>
      <c r="CA8" s="97"/>
      <c r="CB8" s="97"/>
      <c r="CC8" s="97"/>
    </row>
    <row r="9" spans="1:81" s="3" customFormat="1" ht="21" customHeight="1" x14ac:dyDescent="0.15">
      <c r="A9" s="94" t="s">
        <v>13</v>
      </c>
      <c r="B9" s="98">
        <v>46058</v>
      </c>
      <c r="C9" s="140" t="s">
        <v>167</v>
      </c>
      <c r="D9" s="95">
        <v>122</v>
      </c>
      <c r="E9" s="95">
        <f>623197*1.1</f>
        <v>685516.70000000007</v>
      </c>
      <c r="F9" s="95">
        <v>108</v>
      </c>
      <c r="G9" s="95">
        <f>754917*1.1</f>
        <v>830408.70000000007</v>
      </c>
      <c r="H9" s="95">
        <v>230</v>
      </c>
      <c r="I9" s="95">
        <f>685048*1.1</f>
        <v>753552.8</v>
      </c>
      <c r="J9" s="96">
        <f>13466*1.1</f>
        <v>14812.6</v>
      </c>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c r="BP9" s="97"/>
      <c r="BQ9" s="97"/>
      <c r="BR9" s="97"/>
      <c r="BS9" s="97"/>
      <c r="BT9" s="97"/>
      <c r="BU9" s="97"/>
      <c r="BV9" s="97"/>
      <c r="BW9" s="97"/>
      <c r="BX9" s="97"/>
      <c r="BY9" s="97"/>
      <c r="BZ9" s="97"/>
      <c r="CA9" s="97"/>
      <c r="CB9" s="97"/>
      <c r="CC9" s="97"/>
    </row>
    <row r="10" spans="1:81" s="3" customFormat="1" ht="21" customHeight="1" x14ac:dyDescent="0.15">
      <c r="A10" s="94" t="s">
        <v>14</v>
      </c>
      <c r="B10" s="98">
        <v>46059</v>
      </c>
      <c r="C10" s="140" t="s">
        <v>172</v>
      </c>
      <c r="D10" s="100">
        <v>108</v>
      </c>
      <c r="E10" s="95">
        <f>663009*1.1</f>
        <v>729309.9</v>
      </c>
      <c r="F10" s="95">
        <v>127</v>
      </c>
      <c r="G10" s="95">
        <f>788047*1.1</f>
        <v>866851.70000000007</v>
      </c>
      <c r="H10" s="95">
        <v>235</v>
      </c>
      <c r="I10" s="95">
        <f>730583*1.1</f>
        <v>803641.3</v>
      </c>
      <c r="J10" s="96">
        <f>20862*1.1</f>
        <v>22948.2</v>
      </c>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c r="BU10" s="97"/>
      <c r="BV10" s="97"/>
      <c r="BW10" s="97"/>
      <c r="BX10" s="97"/>
      <c r="BY10" s="97"/>
      <c r="BZ10" s="97"/>
      <c r="CA10" s="97"/>
      <c r="CB10" s="97"/>
      <c r="CC10" s="97"/>
    </row>
    <row r="11" spans="1:81" s="3" customFormat="1" ht="21" customHeight="1" x14ac:dyDescent="0.15">
      <c r="A11" s="94" t="s">
        <v>15</v>
      </c>
      <c r="B11" s="98">
        <v>46060</v>
      </c>
      <c r="C11" s="140" t="s">
        <v>172</v>
      </c>
      <c r="D11" s="100">
        <v>112</v>
      </c>
      <c r="E11" s="95">
        <f>678054*1.1</f>
        <v>745859.4</v>
      </c>
      <c r="F11" s="95">
        <v>104</v>
      </c>
      <c r="G11" s="95">
        <f>802048*1.1</f>
        <v>882252.80000000005</v>
      </c>
      <c r="H11" s="95">
        <v>216</v>
      </c>
      <c r="I11" s="95">
        <f>737755*1.1</f>
        <v>811530.50000000012</v>
      </c>
      <c r="J11" s="96">
        <f>28034*1.1</f>
        <v>30837.4</v>
      </c>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7"/>
      <c r="BZ11" s="97"/>
      <c r="CA11" s="97"/>
      <c r="CB11" s="97"/>
      <c r="CC11" s="97"/>
    </row>
    <row r="12" spans="1:81" s="3" customFormat="1" ht="21" customHeight="1" x14ac:dyDescent="0.15">
      <c r="A12" s="94" t="s">
        <v>16</v>
      </c>
      <c r="B12" s="156">
        <v>46061</v>
      </c>
      <c r="C12" s="140" t="s">
        <v>171</v>
      </c>
      <c r="D12" s="100">
        <v>123</v>
      </c>
      <c r="E12" s="95">
        <f>712537*1.1</f>
        <v>783790.70000000007</v>
      </c>
      <c r="F12" s="95">
        <v>133</v>
      </c>
      <c r="G12" s="95">
        <f>802173*1.1</f>
        <v>882390.3</v>
      </c>
      <c r="H12" s="95">
        <v>256</v>
      </c>
      <c r="I12" s="95">
        <f>759105*1.1</f>
        <v>835015.50000000012</v>
      </c>
      <c r="J12" s="96">
        <f>72907*1.1</f>
        <v>80197.700000000012</v>
      </c>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7"/>
      <c r="BU12" s="97"/>
      <c r="BV12" s="97"/>
      <c r="BW12" s="97"/>
      <c r="BX12" s="97"/>
      <c r="BY12" s="97"/>
      <c r="BZ12" s="97"/>
      <c r="CA12" s="97"/>
      <c r="CB12" s="97"/>
      <c r="CC12" s="97"/>
    </row>
    <row r="13" spans="1:81" s="3" customFormat="1" ht="21" customHeight="1" x14ac:dyDescent="0.15">
      <c r="A13" s="94" t="s">
        <v>17</v>
      </c>
      <c r="B13" s="98">
        <v>46062</v>
      </c>
      <c r="C13" s="142" t="s">
        <v>171</v>
      </c>
      <c r="D13" s="100">
        <v>102</v>
      </c>
      <c r="E13" s="95">
        <f>716343*1.1</f>
        <v>787977.3</v>
      </c>
      <c r="F13" s="95">
        <v>130</v>
      </c>
      <c r="G13" s="95">
        <f>803962*1.1</f>
        <v>884358.20000000007</v>
      </c>
      <c r="H13" s="95">
        <v>232</v>
      </c>
      <c r="I13" s="95">
        <f>765440*1.1</f>
        <v>841984.00000000012</v>
      </c>
      <c r="J13" s="96">
        <f>79242*1.1</f>
        <v>87166.200000000012</v>
      </c>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c r="BZ13" s="97"/>
      <c r="CA13" s="97"/>
      <c r="CB13" s="97"/>
      <c r="CC13" s="97"/>
    </row>
    <row r="14" spans="1:81" s="3" customFormat="1" ht="21" customHeight="1" x14ac:dyDescent="0.15">
      <c r="A14" s="94" t="s">
        <v>18</v>
      </c>
      <c r="B14" s="98">
        <v>46063</v>
      </c>
      <c r="C14" s="140" t="s">
        <v>174</v>
      </c>
      <c r="D14" s="100">
        <v>134</v>
      </c>
      <c r="E14" s="95">
        <f>675448*1.1</f>
        <v>742992.8</v>
      </c>
      <c r="F14" s="95">
        <v>160</v>
      </c>
      <c r="G14" s="95">
        <f>785625*1.1</f>
        <v>864187.50000000012</v>
      </c>
      <c r="H14" s="95">
        <v>294</v>
      </c>
      <c r="I14" s="95">
        <f>735408*1.1</f>
        <v>808948.8</v>
      </c>
      <c r="J14" s="96">
        <f>14854*1.1</f>
        <v>16339.400000000001</v>
      </c>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c r="BX14" s="97"/>
      <c r="BY14" s="97"/>
      <c r="BZ14" s="97"/>
      <c r="CA14" s="97"/>
      <c r="CB14" s="97"/>
      <c r="CC14" s="97"/>
    </row>
    <row r="15" spans="1:81" s="3" customFormat="1" ht="21" customHeight="1" x14ac:dyDescent="0.15">
      <c r="A15" s="94" t="s">
        <v>19</v>
      </c>
      <c r="B15" s="156">
        <v>46064</v>
      </c>
      <c r="C15" s="158" t="s">
        <v>180</v>
      </c>
      <c r="D15" s="100"/>
      <c r="E15" s="95"/>
      <c r="F15" s="95"/>
      <c r="G15" s="95"/>
      <c r="H15" s="95"/>
      <c r="I15" s="95"/>
      <c r="J15" s="96"/>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row>
    <row r="16" spans="1:81" s="3" customFormat="1" ht="21" customHeight="1" x14ac:dyDescent="0.15">
      <c r="A16" s="94" t="s">
        <v>20</v>
      </c>
      <c r="B16" s="98">
        <v>46065</v>
      </c>
      <c r="C16" s="140"/>
      <c r="D16" s="100"/>
      <c r="E16" s="95"/>
      <c r="F16" s="95"/>
      <c r="G16" s="95"/>
      <c r="H16" s="95"/>
      <c r="I16" s="95"/>
      <c r="J16" s="96"/>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97"/>
      <c r="BU16" s="97"/>
      <c r="BV16" s="97"/>
      <c r="BW16" s="97"/>
      <c r="BX16" s="97"/>
      <c r="BY16" s="97"/>
      <c r="BZ16" s="97"/>
      <c r="CA16" s="97"/>
      <c r="CB16" s="97"/>
      <c r="CC16" s="97"/>
    </row>
    <row r="17" spans="1:81" s="3" customFormat="1" ht="21" customHeight="1" x14ac:dyDescent="0.15">
      <c r="A17" s="94" t="s">
        <v>21</v>
      </c>
      <c r="B17" s="98">
        <v>46066</v>
      </c>
      <c r="C17" s="140"/>
      <c r="D17" s="100"/>
      <c r="E17" s="95"/>
      <c r="F17" s="95"/>
      <c r="G17" s="95"/>
      <c r="H17" s="95"/>
      <c r="I17" s="95"/>
      <c r="J17" s="96"/>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c r="BZ17" s="97"/>
      <c r="CA17" s="97"/>
      <c r="CB17" s="97"/>
      <c r="CC17" s="97"/>
    </row>
    <row r="18" spans="1:81" s="3" customFormat="1" ht="21" customHeight="1" x14ac:dyDescent="0.15">
      <c r="A18" s="94" t="s">
        <v>22</v>
      </c>
      <c r="B18" s="98">
        <v>46067</v>
      </c>
      <c r="C18" s="140"/>
      <c r="D18" s="95"/>
      <c r="E18" s="95"/>
      <c r="F18" s="95"/>
      <c r="G18" s="95"/>
      <c r="H18" s="95"/>
      <c r="I18" s="95"/>
      <c r="J18" s="96"/>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c r="BX18" s="97"/>
      <c r="BY18" s="97"/>
      <c r="BZ18" s="97"/>
      <c r="CA18" s="97"/>
      <c r="CB18" s="97"/>
      <c r="CC18" s="97"/>
    </row>
    <row r="19" spans="1:81" s="3" customFormat="1" ht="21" customHeight="1" x14ac:dyDescent="0.15">
      <c r="A19" s="94" t="s">
        <v>23</v>
      </c>
      <c r="B19" s="156">
        <v>46068</v>
      </c>
      <c r="C19" s="140"/>
      <c r="D19" s="95"/>
      <c r="E19" s="95"/>
      <c r="F19" s="95"/>
      <c r="G19" s="95"/>
      <c r="H19" s="95"/>
      <c r="I19" s="95"/>
      <c r="J19" s="96"/>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c r="BX19" s="97"/>
      <c r="BY19" s="97"/>
      <c r="BZ19" s="97"/>
      <c r="CA19" s="97"/>
      <c r="CB19" s="97"/>
      <c r="CC19" s="97"/>
    </row>
    <row r="20" spans="1:81" s="3" customFormat="1" ht="21" customHeight="1" x14ac:dyDescent="0.15">
      <c r="A20" s="94" t="s">
        <v>24</v>
      </c>
      <c r="B20" s="98">
        <v>46069</v>
      </c>
      <c r="C20" s="140" t="s">
        <v>173</v>
      </c>
      <c r="D20" s="95">
        <v>163</v>
      </c>
      <c r="E20" s="95">
        <f>674049*1.1</f>
        <v>741453.9</v>
      </c>
      <c r="F20" s="95">
        <v>206</v>
      </c>
      <c r="G20" s="95">
        <f>785291*1.1</f>
        <v>863820.10000000009</v>
      </c>
      <c r="H20" s="95">
        <v>369</v>
      </c>
      <c r="I20" s="95">
        <f>736152*1.1</f>
        <v>809767.20000000007</v>
      </c>
      <c r="J20" s="96">
        <f>30413*1.1</f>
        <v>33454.300000000003</v>
      </c>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c r="BL20" s="97"/>
      <c r="BM20" s="97"/>
      <c r="BN20" s="97"/>
      <c r="BO20" s="97"/>
      <c r="BP20" s="97"/>
      <c r="BQ20" s="97"/>
      <c r="BR20" s="97"/>
      <c r="BS20" s="97"/>
      <c r="BT20" s="97"/>
      <c r="BU20" s="97"/>
      <c r="BV20" s="97"/>
      <c r="BW20" s="97"/>
      <c r="BX20" s="97"/>
      <c r="BY20" s="97"/>
      <c r="BZ20" s="97"/>
      <c r="CA20" s="97"/>
      <c r="CB20" s="97"/>
      <c r="CC20" s="97"/>
    </row>
    <row r="21" spans="1:81" s="3" customFormat="1" ht="21" customHeight="1" x14ac:dyDescent="0.15">
      <c r="A21" s="94" t="s">
        <v>25</v>
      </c>
      <c r="B21" s="98">
        <v>46070</v>
      </c>
      <c r="C21" s="143" t="s">
        <v>175</v>
      </c>
      <c r="D21" s="95">
        <v>172</v>
      </c>
      <c r="E21" s="95">
        <f>688547*1.1</f>
        <v>757401.70000000007</v>
      </c>
      <c r="F21" s="95">
        <v>205</v>
      </c>
      <c r="G21" s="95">
        <f>803820*1.1</f>
        <v>884202.00000000012</v>
      </c>
      <c r="H21" s="95">
        <v>377</v>
      </c>
      <c r="I21" s="95">
        <f>751228*1.1</f>
        <v>826350.8</v>
      </c>
      <c r="J21" s="96">
        <f>54282*1.1</f>
        <v>59710.200000000004</v>
      </c>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97"/>
      <c r="BP21" s="97"/>
      <c r="BQ21" s="97"/>
      <c r="BR21" s="97"/>
      <c r="BS21" s="97"/>
      <c r="BT21" s="97"/>
      <c r="BU21" s="97"/>
      <c r="BV21" s="97"/>
      <c r="BW21" s="97"/>
      <c r="BX21" s="97"/>
      <c r="BY21" s="97"/>
      <c r="BZ21" s="97"/>
      <c r="CA21" s="97"/>
      <c r="CB21" s="97"/>
      <c r="CC21" s="97"/>
    </row>
    <row r="22" spans="1:81" s="3" customFormat="1" ht="21" customHeight="1" x14ac:dyDescent="0.15">
      <c r="A22" s="94" t="s">
        <v>26</v>
      </c>
      <c r="B22" s="98">
        <v>46071</v>
      </c>
      <c r="C22" s="142" t="s">
        <v>175</v>
      </c>
      <c r="D22" s="95">
        <v>156</v>
      </c>
      <c r="E22" s="95">
        <f>705013*1.1</f>
        <v>775514.3</v>
      </c>
      <c r="F22" s="95">
        <v>222</v>
      </c>
      <c r="G22" s="95">
        <f>810550*1.1</f>
        <v>891605.00000000012</v>
      </c>
      <c r="H22" s="95">
        <v>378</v>
      </c>
      <c r="I22" s="95">
        <f>766995*1.1</f>
        <v>843694.50000000012</v>
      </c>
      <c r="J22" s="96">
        <f>70049*1.1</f>
        <v>77053.900000000009</v>
      </c>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7"/>
      <c r="BA22" s="97"/>
      <c r="BB22" s="97"/>
      <c r="BC22" s="97"/>
      <c r="BD22" s="97"/>
      <c r="BE22" s="97"/>
      <c r="BF22" s="97"/>
      <c r="BG22" s="97"/>
      <c r="BH22" s="97"/>
      <c r="BI22" s="97"/>
      <c r="BJ22" s="97"/>
      <c r="BK22" s="97"/>
      <c r="BL22" s="97"/>
      <c r="BM22" s="97"/>
      <c r="BN22" s="97"/>
      <c r="BO22" s="97"/>
      <c r="BP22" s="97"/>
      <c r="BQ22" s="97"/>
      <c r="BR22" s="97"/>
      <c r="BS22" s="97"/>
      <c r="BT22" s="97"/>
      <c r="BU22" s="97"/>
      <c r="BV22" s="97"/>
      <c r="BW22" s="97"/>
      <c r="BX22" s="97"/>
      <c r="BY22" s="97"/>
      <c r="BZ22" s="97"/>
      <c r="CA22" s="97"/>
      <c r="CB22" s="97"/>
      <c r="CC22" s="97"/>
    </row>
    <row r="23" spans="1:81" s="3" customFormat="1" ht="21" customHeight="1" x14ac:dyDescent="0.15">
      <c r="A23" s="94" t="s">
        <v>27</v>
      </c>
      <c r="B23" s="98">
        <v>46072</v>
      </c>
      <c r="C23" s="140" t="s">
        <v>176</v>
      </c>
      <c r="D23" s="95">
        <v>223</v>
      </c>
      <c r="E23" s="95">
        <f>669117*1.1</f>
        <v>736028.70000000007</v>
      </c>
      <c r="F23" s="95">
        <v>223</v>
      </c>
      <c r="G23" s="95">
        <f>789381*1.1</f>
        <v>868319.10000000009</v>
      </c>
      <c r="H23" s="95">
        <v>446</v>
      </c>
      <c r="I23" s="95">
        <f>729249*1.1</f>
        <v>802173.9</v>
      </c>
      <c r="J23" s="96">
        <f>32303*1.1</f>
        <v>35533.300000000003</v>
      </c>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97"/>
      <c r="BU23" s="97"/>
      <c r="BV23" s="97"/>
      <c r="BW23" s="97"/>
      <c r="BX23" s="97"/>
      <c r="BY23" s="97"/>
      <c r="BZ23" s="97"/>
      <c r="CA23" s="97"/>
      <c r="CB23" s="97"/>
      <c r="CC23" s="97"/>
    </row>
    <row r="24" spans="1:81" s="3" customFormat="1" ht="21" customHeight="1" x14ac:dyDescent="0.15">
      <c r="A24" s="94" t="s">
        <v>28</v>
      </c>
      <c r="B24" s="98">
        <v>46073</v>
      </c>
      <c r="C24" s="140"/>
      <c r="D24" s="95"/>
      <c r="E24" s="95"/>
      <c r="F24" s="95"/>
      <c r="G24" s="95"/>
      <c r="H24" s="95"/>
      <c r="I24" s="95"/>
      <c r="J24" s="96"/>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7"/>
      <c r="BQ24" s="97"/>
      <c r="BR24" s="97"/>
      <c r="BS24" s="97"/>
      <c r="BT24" s="97"/>
      <c r="BU24" s="97"/>
      <c r="BV24" s="97"/>
      <c r="BW24" s="97"/>
      <c r="BX24" s="97"/>
      <c r="BY24" s="97"/>
      <c r="BZ24" s="97"/>
      <c r="CA24" s="97"/>
      <c r="CB24" s="97"/>
      <c r="CC24" s="97"/>
    </row>
    <row r="25" spans="1:81" s="3" customFormat="1" ht="21" customHeight="1" x14ac:dyDescent="0.15">
      <c r="A25" s="94" t="s">
        <v>29</v>
      </c>
      <c r="B25" s="98">
        <v>46074</v>
      </c>
      <c r="C25" s="140"/>
      <c r="D25" s="95"/>
      <c r="E25" s="95"/>
      <c r="F25" s="95"/>
      <c r="G25" s="95"/>
      <c r="H25" s="95"/>
      <c r="I25" s="95"/>
      <c r="J25" s="96"/>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7"/>
      <c r="BQ25" s="97"/>
      <c r="BR25" s="97"/>
      <c r="BS25" s="97"/>
      <c r="BT25" s="97"/>
      <c r="BU25" s="97"/>
      <c r="BV25" s="97"/>
      <c r="BW25" s="97"/>
      <c r="BX25" s="97"/>
      <c r="BY25" s="97"/>
      <c r="BZ25" s="97"/>
      <c r="CA25" s="97"/>
      <c r="CB25" s="97"/>
      <c r="CC25" s="97"/>
    </row>
    <row r="26" spans="1:81" s="3" customFormat="1" ht="21" customHeight="1" x14ac:dyDescent="0.15">
      <c r="A26" s="94" t="s">
        <v>30</v>
      </c>
      <c r="B26" s="156">
        <v>46075</v>
      </c>
      <c r="C26" s="66"/>
      <c r="D26" s="95"/>
      <c r="E26" s="95"/>
      <c r="F26" s="95"/>
      <c r="G26" s="95"/>
      <c r="H26" s="95"/>
      <c r="I26" s="95"/>
      <c r="J26" s="96"/>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c r="BU26" s="97"/>
      <c r="BV26" s="97"/>
      <c r="BW26" s="97"/>
      <c r="BX26" s="97"/>
      <c r="BY26" s="97"/>
      <c r="BZ26" s="97"/>
      <c r="CA26" s="97"/>
      <c r="CB26" s="97"/>
      <c r="CC26" s="97"/>
    </row>
    <row r="27" spans="1:81" s="3" customFormat="1" ht="21" customHeight="1" x14ac:dyDescent="0.15">
      <c r="A27" s="94" t="s">
        <v>31</v>
      </c>
      <c r="B27" s="156">
        <v>46076</v>
      </c>
      <c r="C27" s="143" t="s">
        <v>181</v>
      </c>
      <c r="D27" s="95">
        <v>170</v>
      </c>
      <c r="E27" s="95">
        <f>712524*1.1</f>
        <v>783776.4</v>
      </c>
      <c r="F27" s="95">
        <v>178</v>
      </c>
      <c r="G27" s="95">
        <f>817157*1.1</f>
        <v>898872.70000000007</v>
      </c>
      <c r="H27" s="95">
        <v>348</v>
      </c>
      <c r="I27" s="95">
        <f>766043*1.1</f>
        <v>842647.3</v>
      </c>
      <c r="J27" s="96">
        <f>61613*1.1</f>
        <v>67774.3</v>
      </c>
      <c r="K27" s="97"/>
      <c r="L27" s="97"/>
      <c r="M27" s="101"/>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7"/>
      <c r="BW27" s="97"/>
      <c r="BX27" s="97"/>
      <c r="BY27" s="97"/>
      <c r="BZ27" s="97"/>
      <c r="CA27" s="97"/>
      <c r="CB27" s="97"/>
      <c r="CC27" s="97"/>
    </row>
    <row r="28" spans="1:81" s="3" customFormat="1" ht="21" customHeight="1" x14ac:dyDescent="0.15">
      <c r="A28" s="117" t="s">
        <v>32</v>
      </c>
      <c r="B28" s="98">
        <v>46077</v>
      </c>
      <c r="C28" s="140" t="s">
        <v>178</v>
      </c>
      <c r="D28" s="95">
        <v>158</v>
      </c>
      <c r="E28" s="95">
        <f>715968*1.1</f>
        <v>787564.8</v>
      </c>
      <c r="F28" s="95">
        <v>227</v>
      </c>
      <c r="G28" s="95">
        <f>811775*1.1</f>
        <v>892952.50000000012</v>
      </c>
      <c r="H28" s="95">
        <v>385</v>
      </c>
      <c r="I28" s="95">
        <f>772457*1.1</f>
        <v>849702.70000000007</v>
      </c>
      <c r="J28" s="96">
        <f>68027*1.1</f>
        <v>74829.700000000012</v>
      </c>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c r="BP28" s="97"/>
      <c r="BQ28" s="97"/>
      <c r="BR28" s="97"/>
      <c r="BS28" s="97"/>
      <c r="BT28" s="97"/>
      <c r="BU28" s="97"/>
      <c r="BV28" s="97"/>
      <c r="BW28" s="97"/>
      <c r="BX28" s="97"/>
      <c r="BY28" s="97"/>
      <c r="BZ28" s="97"/>
      <c r="CA28" s="97"/>
      <c r="CB28" s="97"/>
      <c r="CC28" s="97"/>
    </row>
    <row r="29" spans="1:81" s="3" customFormat="1" ht="21" customHeight="1" x14ac:dyDescent="0.15">
      <c r="A29" s="94" t="s">
        <v>33</v>
      </c>
      <c r="B29" s="98">
        <v>46078</v>
      </c>
      <c r="C29" s="140" t="s">
        <v>178</v>
      </c>
      <c r="D29" s="95">
        <v>170</v>
      </c>
      <c r="E29" s="95">
        <f>712371*1.1</f>
        <v>783608.10000000009</v>
      </c>
      <c r="F29" s="95">
        <v>150</v>
      </c>
      <c r="G29" s="95">
        <f>819887*1.1</f>
        <v>901875.70000000007</v>
      </c>
      <c r="H29" s="95">
        <v>320</v>
      </c>
      <c r="I29" s="95">
        <f>762769*1.1</f>
        <v>839045.9</v>
      </c>
      <c r="J29" s="96">
        <f>58339*1.1</f>
        <v>64172.900000000009</v>
      </c>
      <c r="K29" s="5"/>
      <c r="L29" s="1"/>
      <c r="M29" s="1"/>
      <c r="N29" s="1"/>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c r="CA29" s="97"/>
      <c r="CB29" s="97"/>
      <c r="CC29" s="97"/>
    </row>
    <row r="30" spans="1:81" s="3" customFormat="1" ht="21" customHeight="1" x14ac:dyDescent="0.15">
      <c r="A30" s="94" t="s">
        <v>34</v>
      </c>
      <c r="B30" s="98">
        <v>46079</v>
      </c>
      <c r="C30" s="99"/>
      <c r="D30" s="95"/>
      <c r="E30" s="95"/>
      <c r="F30" s="95"/>
      <c r="G30" s="95"/>
      <c r="H30" s="95"/>
      <c r="I30" s="95"/>
      <c r="J30" s="96"/>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c r="BP30" s="97"/>
      <c r="BQ30" s="97"/>
      <c r="BR30" s="97"/>
      <c r="BS30" s="97"/>
      <c r="BT30" s="97"/>
      <c r="BU30" s="97"/>
      <c r="BV30" s="97"/>
      <c r="BW30" s="97"/>
      <c r="BX30" s="97"/>
      <c r="BY30" s="97"/>
      <c r="BZ30" s="97"/>
      <c r="CA30" s="97"/>
      <c r="CB30" s="97"/>
      <c r="CC30" s="97"/>
    </row>
    <row r="31" spans="1:81" s="3" customFormat="1" ht="21" customHeight="1" x14ac:dyDescent="0.15">
      <c r="A31" s="94" t="s">
        <v>35</v>
      </c>
      <c r="B31" s="98">
        <v>46080</v>
      </c>
      <c r="C31" s="99"/>
      <c r="D31" s="95"/>
      <c r="E31" s="95"/>
      <c r="F31" s="95"/>
      <c r="G31" s="95"/>
      <c r="H31" s="95"/>
      <c r="I31" s="95"/>
      <c r="J31" s="96"/>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7"/>
      <c r="BV31" s="97"/>
      <c r="BW31" s="97"/>
      <c r="BX31" s="97"/>
      <c r="BY31" s="97"/>
      <c r="BZ31" s="97"/>
      <c r="CA31" s="97"/>
      <c r="CB31" s="97"/>
      <c r="CC31" s="97"/>
    </row>
    <row r="32" spans="1:81" s="3" customFormat="1" ht="21" customHeight="1" x14ac:dyDescent="0.15">
      <c r="A32" s="94" t="s">
        <v>36</v>
      </c>
      <c r="B32" s="98">
        <v>46081</v>
      </c>
      <c r="C32" s="99"/>
      <c r="D32" s="95"/>
      <c r="E32" s="95"/>
      <c r="F32" s="95"/>
      <c r="G32" s="95"/>
      <c r="H32" s="95"/>
      <c r="I32" s="95"/>
      <c r="J32" s="96"/>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c r="BS32" s="97"/>
      <c r="BT32" s="97"/>
      <c r="BU32" s="97"/>
      <c r="BV32" s="97"/>
      <c r="BW32" s="97"/>
      <c r="BX32" s="97"/>
      <c r="BY32" s="97"/>
      <c r="BZ32" s="97"/>
      <c r="CA32" s="97"/>
      <c r="CB32" s="97"/>
      <c r="CC32" s="97"/>
    </row>
    <row r="33" spans="1:81" s="3" customFormat="1" ht="21" customHeight="1" x14ac:dyDescent="0.15">
      <c r="A33" s="94"/>
      <c r="B33" s="98"/>
      <c r="C33" s="99"/>
      <c r="D33" s="95"/>
      <c r="E33" s="95"/>
      <c r="F33" s="95"/>
      <c r="G33" s="95"/>
      <c r="H33" s="95"/>
      <c r="I33" s="95"/>
      <c r="J33" s="96"/>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c r="BV33" s="97"/>
      <c r="BW33" s="97"/>
      <c r="BX33" s="97"/>
      <c r="BY33" s="97"/>
      <c r="BZ33" s="97"/>
      <c r="CA33" s="97"/>
      <c r="CB33" s="97"/>
      <c r="CC33" s="97"/>
    </row>
    <row r="34" spans="1:81" s="3" customFormat="1" ht="21" customHeight="1" thickBot="1" x14ac:dyDescent="0.2">
      <c r="A34" s="237" t="s">
        <v>40</v>
      </c>
      <c r="B34" s="238"/>
      <c r="C34" s="159"/>
      <c r="D34" s="160">
        <f>SUM(D5:D31)</f>
        <v>2242</v>
      </c>
      <c r="E34" s="160">
        <f>AVERAGE(E5:E33)</f>
        <v>749198.19333333336</v>
      </c>
      <c r="F34" s="160">
        <f>SUM(F5:F31)</f>
        <v>2591</v>
      </c>
      <c r="G34" s="160">
        <f>AVERAGE(G5:G33)</f>
        <v>870353.65999999992</v>
      </c>
      <c r="H34" s="160">
        <f>SUM(D34+F34)</f>
        <v>4833</v>
      </c>
      <c r="I34" s="87">
        <f>SUMPRODUCT(H3:H33,I3:I33)/H34</f>
        <v>813735.76238361269</v>
      </c>
      <c r="J34" s="161"/>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c r="BU34" s="97"/>
      <c r="BV34" s="97"/>
      <c r="BW34" s="97"/>
      <c r="BX34" s="97"/>
      <c r="BY34" s="97"/>
      <c r="BZ34" s="97"/>
      <c r="CA34" s="97"/>
      <c r="CB34" s="97"/>
      <c r="CC34" s="97"/>
    </row>
    <row r="35" spans="1:81" s="3" customFormat="1" ht="21" customHeight="1" x14ac:dyDescent="0.15">
      <c r="A35" s="13"/>
      <c r="B35" s="56"/>
      <c r="C35" s="50" t="s">
        <v>161</v>
      </c>
      <c r="D35" s="13"/>
      <c r="E35" s="13"/>
      <c r="F35" s="10"/>
      <c r="G35" s="10"/>
      <c r="H35" s="111" t="s">
        <v>137</v>
      </c>
      <c r="I35" s="10">
        <f>I34/1.1</f>
        <v>739759.78398510243</v>
      </c>
      <c r="J35" s="10"/>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7"/>
      <c r="BR35" s="97"/>
      <c r="BS35" s="97"/>
      <c r="BT35" s="97"/>
      <c r="BU35" s="97"/>
      <c r="BV35" s="97"/>
      <c r="BW35" s="97"/>
      <c r="BX35" s="97"/>
      <c r="BY35" s="97"/>
      <c r="BZ35" s="97"/>
      <c r="CA35" s="97"/>
      <c r="CB35" s="97"/>
      <c r="CC35" s="97"/>
    </row>
    <row r="36" spans="1:81" s="3" customFormat="1" ht="12.6" customHeight="1" x14ac:dyDescent="0.15">
      <c r="A36" s="13"/>
      <c r="B36" s="56"/>
      <c r="C36" s="13" t="s">
        <v>186</v>
      </c>
      <c r="D36" s="13"/>
      <c r="E36" s="13"/>
      <c r="F36" s="10"/>
      <c r="G36" s="10"/>
      <c r="H36" s="111"/>
      <c r="I36" s="10"/>
      <c r="J36" s="10"/>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c r="BV36" s="97"/>
      <c r="BW36" s="97"/>
      <c r="BX36" s="97"/>
      <c r="BY36" s="97"/>
      <c r="BZ36" s="97"/>
      <c r="CA36" s="97"/>
      <c r="CB36" s="97"/>
      <c r="CC36" s="97"/>
    </row>
    <row r="37" spans="1:81" s="3" customFormat="1" ht="12.6" customHeight="1" x14ac:dyDescent="0.15">
      <c r="A37" s="13"/>
      <c r="B37" s="11"/>
      <c r="C37" s="11"/>
      <c r="D37" s="13"/>
      <c r="E37" s="36"/>
      <c r="F37" s="10"/>
      <c r="G37" s="10"/>
      <c r="H37" s="111"/>
      <c r="I37" s="10"/>
      <c r="J37" s="10"/>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7"/>
      <c r="BP37" s="97"/>
      <c r="BQ37" s="97"/>
      <c r="BR37" s="97"/>
      <c r="BS37" s="97"/>
      <c r="BT37" s="97"/>
      <c r="BU37" s="97"/>
      <c r="BV37" s="97"/>
      <c r="BW37" s="97"/>
      <c r="BX37" s="97"/>
      <c r="BY37" s="97"/>
      <c r="BZ37" s="97"/>
      <c r="CA37" s="97"/>
      <c r="CB37" s="97"/>
      <c r="CC37" s="97"/>
    </row>
    <row r="38" spans="1:81" s="3" customFormat="1" ht="12.6" customHeight="1" thickBot="1" x14ac:dyDescent="0.2">
      <c r="A38" s="10"/>
      <c r="B38" s="107"/>
      <c r="C38" s="107"/>
      <c r="D38" s="10"/>
      <c r="E38" s="10"/>
      <c r="F38" s="10"/>
      <c r="G38" s="10"/>
      <c r="H38" s="10"/>
      <c r="I38" s="10"/>
      <c r="J38" s="10"/>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c r="BP38" s="97"/>
      <c r="BQ38" s="97"/>
      <c r="BR38" s="97"/>
      <c r="BS38" s="97"/>
      <c r="BT38" s="97"/>
      <c r="BU38" s="97"/>
      <c r="BV38" s="97"/>
      <c r="BW38" s="97"/>
      <c r="BX38" s="97"/>
      <c r="BY38" s="97"/>
      <c r="BZ38" s="97"/>
      <c r="CA38" s="97"/>
      <c r="CB38" s="97"/>
      <c r="CC38" s="97"/>
    </row>
    <row r="39" spans="1:81" ht="12.6" customHeight="1" thickTop="1" thickBot="1" x14ac:dyDescent="0.2">
      <c r="A39" s="13"/>
      <c r="B39" s="11"/>
      <c r="C39" s="11"/>
      <c r="D39" s="13"/>
      <c r="E39" s="36"/>
      <c r="F39" s="36"/>
      <c r="G39" s="36"/>
      <c r="H39" s="228" t="s">
        <v>100</v>
      </c>
      <c r="I39" s="229"/>
      <c r="J39" s="36"/>
    </row>
    <row r="40" spans="1:81" ht="14.25" thickTop="1" x14ac:dyDescent="0.15">
      <c r="A40"/>
      <c r="B40" s="3"/>
      <c r="C40" s="11"/>
      <c r="D40" s="46"/>
      <c r="E40" s="233"/>
      <c r="F40" s="233"/>
      <c r="G40" s="13"/>
      <c r="H40" s="39" t="s">
        <v>99</v>
      </c>
      <c r="I40" s="75" t="s">
        <v>148</v>
      </c>
      <c r="J40" s="13"/>
    </row>
    <row r="41" spans="1:81" x14ac:dyDescent="0.15">
      <c r="A41" s="13"/>
      <c r="B41" s="11"/>
      <c r="C41" s="11"/>
      <c r="D41" s="46"/>
      <c r="E41" s="234"/>
      <c r="F41" s="234"/>
      <c r="G41" s="37"/>
      <c r="H41" s="31" t="s">
        <v>98</v>
      </c>
      <c r="I41" s="35">
        <f>I34</f>
        <v>813735.76238361269</v>
      </c>
      <c r="J41" s="36"/>
    </row>
    <row r="42" spans="1:81" x14ac:dyDescent="0.15">
      <c r="A42" s="13"/>
      <c r="B42" s="11"/>
      <c r="C42" s="11"/>
      <c r="D42" s="46"/>
      <c r="E42" s="234"/>
      <c r="F42" s="234"/>
      <c r="G42" s="38"/>
      <c r="H42" s="30" t="s">
        <v>44</v>
      </c>
      <c r="I42" s="33">
        <f>SUM('１月'!I41)</f>
        <v>763053.93042724265</v>
      </c>
      <c r="J42" s="36"/>
    </row>
    <row r="43" spans="1:81" ht="14.25" thickBot="1" x14ac:dyDescent="0.2">
      <c r="A43" s="13"/>
      <c r="B43" s="11"/>
      <c r="C43" s="11"/>
      <c r="D43" s="46"/>
      <c r="E43" s="234"/>
      <c r="F43" s="234"/>
      <c r="G43" s="36"/>
      <c r="H43" s="29" t="s">
        <v>45</v>
      </c>
      <c r="I43" s="34">
        <f>I41-I42</f>
        <v>50681.831956370035</v>
      </c>
      <c r="J43" s="36"/>
    </row>
    <row r="44" spans="1:81" ht="15" thickTop="1" thickBot="1" x14ac:dyDescent="0.2">
      <c r="A44" s="13"/>
      <c r="B44" s="11"/>
      <c r="C44" s="11"/>
      <c r="D44" s="12"/>
      <c r="E44" s="12"/>
      <c r="F44" s="13"/>
      <c r="G44" s="13"/>
      <c r="H44" s="13"/>
      <c r="I44" s="13"/>
      <c r="J44" s="12"/>
    </row>
    <row r="45" spans="1:81" ht="15" thickTop="1" thickBot="1" x14ac:dyDescent="0.2">
      <c r="A45" s="13"/>
      <c r="B45" s="56"/>
      <c r="C45" s="13"/>
      <c r="D45" s="13"/>
      <c r="E45" s="13"/>
      <c r="F45" s="13"/>
      <c r="G45" s="13"/>
      <c r="H45" s="228" t="s">
        <v>101</v>
      </c>
      <c r="I45" s="229"/>
      <c r="J45" s="13"/>
    </row>
    <row r="46" spans="1:81" ht="14.25" thickTop="1" x14ac:dyDescent="0.15">
      <c r="A46" s="13"/>
      <c r="B46" s="56"/>
      <c r="C46" s="13"/>
      <c r="D46" s="13"/>
      <c r="E46" s="13"/>
      <c r="F46" s="13"/>
      <c r="G46" s="13"/>
      <c r="H46" s="39" t="s">
        <v>99</v>
      </c>
      <c r="I46" s="75" t="s">
        <v>148</v>
      </c>
      <c r="J46" s="13"/>
    </row>
    <row r="47" spans="1:81" x14ac:dyDescent="0.15">
      <c r="A47" s="13"/>
      <c r="B47" s="56"/>
      <c r="C47" s="13"/>
      <c r="D47" s="13"/>
      <c r="E47" s="13"/>
      <c r="F47" s="13"/>
      <c r="G47" s="13"/>
      <c r="H47" s="31" t="s">
        <v>98</v>
      </c>
      <c r="I47" s="35">
        <f>I41</f>
        <v>813735.76238361269</v>
      </c>
      <c r="J47" s="13"/>
    </row>
    <row r="48" spans="1:81" x14ac:dyDescent="0.15">
      <c r="A48" s="13"/>
      <c r="B48" s="56"/>
      <c r="C48" s="13"/>
      <c r="D48" s="13"/>
      <c r="E48" s="13"/>
      <c r="F48" s="13"/>
      <c r="G48" s="13"/>
      <c r="H48" s="30" t="s">
        <v>77</v>
      </c>
      <c r="I48" s="33">
        <f>SUM(価格推移グラフ!EQ5)</f>
        <v>593092.4107352366</v>
      </c>
      <c r="J48" s="13"/>
    </row>
    <row r="49" spans="1:10" ht="14.25" thickBot="1" x14ac:dyDescent="0.2">
      <c r="A49" s="13"/>
      <c r="B49" s="56"/>
      <c r="C49" s="13"/>
      <c r="D49" s="13"/>
      <c r="E49" s="13"/>
      <c r="F49" s="13"/>
      <c r="G49" s="13"/>
      <c r="H49" s="29" t="s">
        <v>78</v>
      </c>
      <c r="I49" s="34">
        <f>I47-I48</f>
        <v>220643.35164837609</v>
      </c>
      <c r="J49" s="13"/>
    </row>
    <row r="50" spans="1:10" ht="14.25" thickTop="1" x14ac:dyDescent="0.15">
      <c r="A50" s="13"/>
      <c r="B50" s="56"/>
      <c r="C50" s="13"/>
      <c r="D50" s="13"/>
      <c r="E50" s="13"/>
      <c r="F50" s="13"/>
      <c r="G50" s="13"/>
      <c r="H50" s="13"/>
      <c r="I50" s="13"/>
      <c r="J50" s="13"/>
    </row>
  </sheetData>
  <mergeCells count="14">
    <mergeCell ref="J3:J4"/>
    <mergeCell ref="A34:B34"/>
    <mergeCell ref="A3:A4"/>
    <mergeCell ref="B3:B4"/>
    <mergeCell ref="C3:C4"/>
    <mergeCell ref="D3:E3"/>
    <mergeCell ref="F3:G3"/>
    <mergeCell ref="H3:I3"/>
    <mergeCell ref="H45:I45"/>
    <mergeCell ref="H39:I39"/>
    <mergeCell ref="E40:F40"/>
    <mergeCell ref="E41:F41"/>
    <mergeCell ref="E42:F42"/>
    <mergeCell ref="E43:F43"/>
  </mergeCells>
  <phoneticPr fontId="1"/>
  <pageMargins left="0.77" right="0.44" top="0.34" bottom="0.35" header="0.3" footer="0.3"/>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P50"/>
  <sheetViews>
    <sheetView showZeros="0" topLeftCell="B15" zoomScaleNormal="100" workbookViewId="0">
      <selection activeCell="I30" sqref="I30"/>
    </sheetView>
  </sheetViews>
  <sheetFormatPr defaultColWidth="8.875" defaultRowHeight="13.5" x14ac:dyDescent="0.15"/>
  <cols>
    <col min="1" max="1" width="6.875" style="106" customWidth="1"/>
    <col min="2" max="2" width="6.625" style="16" customWidth="1"/>
    <col min="3" max="3" width="11.25" style="152" customWidth="1"/>
    <col min="4" max="4" width="9" style="106"/>
    <col min="5" max="5" width="10.125" style="106" bestFit="1" customWidth="1"/>
    <col min="6" max="7" width="9" style="106"/>
    <col min="8" max="8" width="10.125" style="106" bestFit="1" customWidth="1"/>
    <col min="9" max="9" width="10" style="106" customWidth="1"/>
    <col min="10" max="10" width="9" style="106"/>
    <col min="11" max="13" width="10.5" bestFit="1" customWidth="1"/>
  </cols>
  <sheetData>
    <row r="1" spans="1:16" s="97" customFormat="1" ht="19.5" customHeight="1" x14ac:dyDescent="0.15">
      <c r="A1" s="102" t="s">
        <v>151</v>
      </c>
      <c r="B1" s="103"/>
      <c r="C1" s="103"/>
      <c r="D1" s="104"/>
      <c r="E1" s="105" t="s">
        <v>41</v>
      </c>
      <c r="F1" s="104"/>
      <c r="G1" s="104"/>
      <c r="H1" s="104"/>
      <c r="I1" s="10" t="s">
        <v>42</v>
      </c>
      <c r="J1" s="104"/>
      <c r="K1"/>
      <c r="L1"/>
      <c r="M1"/>
      <c r="N1"/>
      <c r="O1"/>
      <c r="P1"/>
    </row>
    <row r="2" spans="1:16" x14ac:dyDescent="0.15">
      <c r="B2" s="9"/>
      <c r="C2" s="9"/>
      <c r="D2" s="10"/>
      <c r="E2" s="10"/>
      <c r="F2" s="10"/>
      <c r="G2" s="10"/>
      <c r="H2" s="10"/>
      <c r="I2" s="107" t="s">
        <v>43</v>
      </c>
      <c r="J2" s="10"/>
    </row>
    <row r="3" spans="1:16" ht="20.100000000000001" customHeight="1" x14ac:dyDescent="0.15">
      <c r="A3" s="247" t="s">
        <v>0</v>
      </c>
      <c r="B3" s="222" t="s">
        <v>1</v>
      </c>
      <c r="C3" s="222" t="s">
        <v>2</v>
      </c>
      <c r="D3" s="221" t="s">
        <v>5</v>
      </c>
      <c r="E3" s="221"/>
      <c r="F3" s="221" t="s">
        <v>6</v>
      </c>
      <c r="G3" s="221"/>
      <c r="H3" s="221" t="s">
        <v>7</v>
      </c>
      <c r="I3" s="221"/>
      <c r="J3" s="221" t="s">
        <v>8</v>
      </c>
    </row>
    <row r="4" spans="1:16" ht="20.100000000000001" customHeight="1" x14ac:dyDescent="0.15">
      <c r="A4" s="247"/>
      <c r="B4" s="222"/>
      <c r="C4" s="222"/>
      <c r="D4" s="99" t="s">
        <v>3</v>
      </c>
      <c r="E4" s="99" t="s">
        <v>4</v>
      </c>
      <c r="F4" s="99" t="s">
        <v>3</v>
      </c>
      <c r="G4" s="99" t="s">
        <v>4</v>
      </c>
      <c r="H4" s="99" t="s">
        <v>3</v>
      </c>
      <c r="I4" s="99" t="s">
        <v>4</v>
      </c>
      <c r="J4" s="221"/>
    </row>
    <row r="5" spans="1:16" ht="20.100000000000001" customHeight="1" x14ac:dyDescent="0.15">
      <c r="A5" s="83" t="s">
        <v>9</v>
      </c>
      <c r="B5" s="129">
        <v>46082</v>
      </c>
      <c r="C5" s="145"/>
      <c r="D5" s="78"/>
      <c r="E5" s="78"/>
      <c r="F5" s="78"/>
      <c r="G5" s="78"/>
      <c r="H5" s="78"/>
      <c r="I5" s="78"/>
      <c r="J5" s="78"/>
      <c r="K5" s="93"/>
      <c r="L5" s="93"/>
      <c r="M5" s="64"/>
      <c r="N5" s="93"/>
    </row>
    <row r="6" spans="1:16" ht="20.100000000000001" customHeight="1" x14ac:dyDescent="0.15">
      <c r="A6" s="70" t="s">
        <v>10</v>
      </c>
      <c r="B6" s="108">
        <v>46083</v>
      </c>
      <c r="C6" s="146" t="s">
        <v>182</v>
      </c>
      <c r="D6" s="95">
        <v>169</v>
      </c>
      <c r="E6" s="95">
        <f>684657*1.1</f>
        <v>753122.70000000007</v>
      </c>
      <c r="F6" s="95">
        <v>206</v>
      </c>
      <c r="G6" s="95">
        <f>777403*1.1</f>
        <v>855143.3</v>
      </c>
      <c r="H6" s="95">
        <v>375</v>
      </c>
      <c r="I6" s="95">
        <f>735605*1.1</f>
        <v>809165.50000000012</v>
      </c>
      <c r="J6" s="95">
        <f>66346*1.1</f>
        <v>72980.600000000006</v>
      </c>
      <c r="K6" s="93"/>
      <c r="L6" s="93"/>
      <c r="M6" s="64"/>
      <c r="N6" s="93"/>
    </row>
    <row r="7" spans="1:16" ht="20.100000000000001" customHeight="1" x14ac:dyDescent="0.15">
      <c r="A7" s="70" t="s">
        <v>11</v>
      </c>
      <c r="B7" s="108">
        <v>46084</v>
      </c>
      <c r="C7" s="146" t="s">
        <v>164</v>
      </c>
      <c r="D7" s="95"/>
      <c r="E7" s="95"/>
      <c r="F7" s="95"/>
      <c r="G7" s="95"/>
      <c r="H7" s="95"/>
      <c r="I7" s="95"/>
      <c r="J7" s="95"/>
      <c r="K7" s="93"/>
      <c r="L7" s="93"/>
      <c r="M7" s="64"/>
      <c r="N7" s="93"/>
    </row>
    <row r="8" spans="1:16" ht="20.100000000000001" customHeight="1" x14ac:dyDescent="0.15">
      <c r="A8" s="70" t="s">
        <v>12</v>
      </c>
      <c r="B8" s="108">
        <v>46085</v>
      </c>
      <c r="C8" s="146" t="s">
        <v>165</v>
      </c>
      <c r="D8" s="95">
        <v>162</v>
      </c>
      <c r="E8" s="95">
        <f>676284*1.1</f>
        <v>743912.4</v>
      </c>
      <c r="F8" s="95">
        <v>218</v>
      </c>
      <c r="G8" s="95">
        <f>758697*1.1</f>
        <v>834566.70000000007</v>
      </c>
      <c r="H8" s="95">
        <v>380</v>
      </c>
      <c r="I8" s="95">
        <f>723563*1.1</f>
        <v>795919.3</v>
      </c>
      <c r="J8" s="95">
        <f>50692*1.1</f>
        <v>55761.200000000004</v>
      </c>
      <c r="K8" s="93" t="s">
        <v>229</v>
      </c>
      <c r="L8" s="93"/>
      <c r="M8" s="64"/>
      <c r="N8" s="93"/>
    </row>
    <row r="9" spans="1:16" ht="20.100000000000001" customHeight="1" x14ac:dyDescent="0.15">
      <c r="A9" s="70" t="s">
        <v>13</v>
      </c>
      <c r="B9" s="108">
        <v>46086</v>
      </c>
      <c r="C9" s="146" t="s">
        <v>166</v>
      </c>
      <c r="D9" s="95">
        <v>188</v>
      </c>
      <c r="E9" s="95">
        <f>673213*1.1</f>
        <v>740534.3</v>
      </c>
      <c r="F9" s="95">
        <v>240</v>
      </c>
      <c r="G9" s="95">
        <f>781713*1.1</f>
        <v>859884.3</v>
      </c>
      <c r="H9" s="95">
        <v>428</v>
      </c>
      <c r="I9" s="95">
        <f>734054*1.1</f>
        <v>807459.4</v>
      </c>
      <c r="J9" s="95">
        <f>43479*1.1</f>
        <v>47826.9</v>
      </c>
      <c r="K9" s="93"/>
      <c r="L9" s="93"/>
      <c r="M9" s="64"/>
      <c r="N9" s="93"/>
    </row>
    <row r="10" spans="1:16" ht="20.100000000000001" customHeight="1" x14ac:dyDescent="0.15">
      <c r="A10" s="70" t="s">
        <v>14</v>
      </c>
      <c r="B10" s="108">
        <v>46087</v>
      </c>
      <c r="C10" s="146" t="s">
        <v>167</v>
      </c>
      <c r="D10" s="95">
        <v>108</v>
      </c>
      <c r="E10" s="95">
        <f>687870*1.1</f>
        <v>756657.00000000012</v>
      </c>
      <c r="F10" s="95">
        <v>120</v>
      </c>
      <c r="G10" s="95">
        <f>790117*1.1</f>
        <v>869128.70000000007</v>
      </c>
      <c r="H10" s="95">
        <v>228</v>
      </c>
      <c r="I10" s="95">
        <f>741684*1.1</f>
        <v>815852.4</v>
      </c>
      <c r="J10" s="95">
        <f>51109*1.1</f>
        <v>56219.9</v>
      </c>
      <c r="K10" s="93"/>
      <c r="L10" s="93"/>
      <c r="M10" s="64"/>
      <c r="N10" s="93"/>
    </row>
    <row r="11" spans="1:16" ht="20.100000000000001" customHeight="1" x14ac:dyDescent="0.15">
      <c r="A11" s="109" t="s">
        <v>15</v>
      </c>
      <c r="B11" s="108">
        <v>46088</v>
      </c>
      <c r="C11" s="146" t="s">
        <v>183</v>
      </c>
      <c r="D11" s="95">
        <v>86</v>
      </c>
      <c r="E11" s="95">
        <f>663291*1.1</f>
        <v>729620.10000000009</v>
      </c>
      <c r="F11" s="95">
        <v>91</v>
      </c>
      <c r="G11" s="95">
        <f>757429*1.1</f>
        <v>833171.9</v>
      </c>
      <c r="H11" s="95">
        <v>177</v>
      </c>
      <c r="I11" s="95">
        <f>711689*1.1</f>
        <v>782857.9</v>
      </c>
      <c r="J11" s="95">
        <f>53081*1.1</f>
        <v>58389.100000000006</v>
      </c>
      <c r="K11" s="93"/>
      <c r="L11" s="93"/>
      <c r="M11" s="64"/>
      <c r="N11" s="93"/>
    </row>
    <row r="12" spans="1:16" ht="20.100000000000001" customHeight="1" x14ac:dyDescent="0.15">
      <c r="A12" s="81" t="s">
        <v>16</v>
      </c>
      <c r="B12" s="129">
        <v>46089</v>
      </c>
      <c r="C12" s="147" t="s">
        <v>184</v>
      </c>
      <c r="D12" s="78">
        <v>82</v>
      </c>
      <c r="E12" s="78">
        <f>641951*1.1</f>
        <v>706146.10000000009</v>
      </c>
      <c r="F12" s="78">
        <v>108</v>
      </c>
      <c r="G12" s="78">
        <f>734370*1.1</f>
        <v>807807.00000000012</v>
      </c>
      <c r="H12" s="78">
        <v>190</v>
      </c>
      <c r="I12" s="78">
        <f>694484*1.1</f>
        <v>763932.4</v>
      </c>
      <c r="J12" s="78">
        <f>36176*1.1</f>
        <v>39793.600000000006</v>
      </c>
    </row>
    <row r="13" spans="1:16" ht="20.100000000000001" customHeight="1" x14ac:dyDescent="0.15">
      <c r="A13" s="109" t="s">
        <v>17</v>
      </c>
      <c r="B13" s="108">
        <v>46090</v>
      </c>
      <c r="C13" s="142" t="s">
        <v>172</v>
      </c>
      <c r="D13" s="95">
        <v>79</v>
      </c>
      <c r="E13" s="95">
        <f>717456*1.1</f>
        <v>789201.60000000009</v>
      </c>
      <c r="F13" s="95">
        <v>164</v>
      </c>
      <c r="G13" s="95">
        <f>818689*1.1</f>
        <v>900557.9</v>
      </c>
      <c r="H13" s="95">
        <v>243</v>
      </c>
      <c r="I13" s="95">
        <f>785778*1.1</f>
        <v>864355.8</v>
      </c>
      <c r="J13" s="95">
        <f>51760*1.1</f>
        <v>56936.000000000007</v>
      </c>
    </row>
    <row r="14" spans="1:16" ht="20.100000000000001" customHeight="1" x14ac:dyDescent="0.15">
      <c r="A14" s="109" t="s">
        <v>18</v>
      </c>
      <c r="B14" s="108">
        <v>46091</v>
      </c>
      <c r="C14" s="146" t="s">
        <v>172</v>
      </c>
      <c r="D14" s="95">
        <v>137</v>
      </c>
      <c r="E14" s="95">
        <f>716978*1.1</f>
        <v>788675.8</v>
      </c>
      <c r="F14" s="95">
        <v>128</v>
      </c>
      <c r="G14" s="95">
        <f>815641*1.1</f>
        <v>897205.10000000009</v>
      </c>
      <c r="H14" s="95">
        <v>265</v>
      </c>
      <c r="I14" s="95">
        <f>764634*1.1</f>
        <v>841097.4</v>
      </c>
      <c r="J14" s="95">
        <f>33817*1.1</f>
        <v>37198.700000000004</v>
      </c>
    </row>
    <row r="15" spans="1:16" ht="20.100000000000001" customHeight="1" x14ac:dyDescent="0.15">
      <c r="A15" s="109" t="s">
        <v>19</v>
      </c>
      <c r="B15" s="108">
        <v>46092</v>
      </c>
      <c r="C15" s="146" t="s">
        <v>171</v>
      </c>
      <c r="D15" s="95">
        <v>121</v>
      </c>
      <c r="E15" s="95">
        <f>745901*1.1</f>
        <v>820491.10000000009</v>
      </c>
      <c r="F15" s="95">
        <v>138</v>
      </c>
      <c r="G15" s="95">
        <f>840681*1.1</f>
        <v>924749.10000000009</v>
      </c>
      <c r="H15" s="95">
        <v>259</v>
      </c>
      <c r="I15" s="95">
        <f>796402*1.1</f>
        <v>876042.20000000007</v>
      </c>
      <c r="J15" s="95">
        <f>34143*1.1</f>
        <v>37557.300000000003</v>
      </c>
    </row>
    <row r="16" spans="1:16" ht="20.100000000000001" customHeight="1" x14ac:dyDescent="0.15">
      <c r="A16" s="109" t="s">
        <v>20</v>
      </c>
      <c r="B16" s="108">
        <v>46093</v>
      </c>
      <c r="C16" s="146" t="s">
        <v>171</v>
      </c>
      <c r="D16" s="95">
        <v>95</v>
      </c>
      <c r="E16" s="95">
        <f>748979*1.1</f>
        <v>823876.9</v>
      </c>
      <c r="F16" s="95">
        <v>139</v>
      </c>
      <c r="G16" s="95">
        <f>832122*1.1</f>
        <v>915334.20000000007</v>
      </c>
      <c r="H16" s="95">
        <v>234</v>
      </c>
      <c r="I16" s="95">
        <f>798368*1.1</f>
        <v>878204.8</v>
      </c>
      <c r="J16" s="95">
        <f>36109*1.1</f>
        <v>39719.9</v>
      </c>
      <c r="K16" s="93"/>
      <c r="L16" s="93"/>
      <c r="M16" s="93"/>
      <c r="O16" s="93"/>
    </row>
    <row r="17" spans="1:12" ht="20.100000000000001" customHeight="1" x14ac:dyDescent="0.15">
      <c r="A17" s="109" t="s">
        <v>21</v>
      </c>
      <c r="B17" s="108">
        <v>46094</v>
      </c>
      <c r="C17" s="146" t="s">
        <v>174</v>
      </c>
      <c r="D17" s="95">
        <v>134</v>
      </c>
      <c r="E17" s="95">
        <f>708396*1.1</f>
        <v>779235.60000000009</v>
      </c>
      <c r="F17" s="95">
        <v>162</v>
      </c>
      <c r="G17" s="95">
        <f>846130*1.1</f>
        <v>930743.00000000012</v>
      </c>
      <c r="H17" s="95">
        <v>296</v>
      </c>
      <c r="I17" s="95">
        <f>783777*1.1</f>
        <v>862154.70000000007</v>
      </c>
      <c r="J17" s="95">
        <f>48369*1.1</f>
        <v>53205.9</v>
      </c>
    </row>
    <row r="18" spans="1:12" ht="20.100000000000001" customHeight="1" x14ac:dyDescent="0.15">
      <c r="A18" s="109" t="s">
        <v>22</v>
      </c>
      <c r="B18" s="108">
        <v>46095</v>
      </c>
      <c r="C18" s="146"/>
      <c r="D18" s="95"/>
      <c r="E18" s="95"/>
      <c r="F18" s="95"/>
      <c r="G18" s="95"/>
      <c r="H18" s="95"/>
      <c r="I18" s="95"/>
      <c r="J18" s="95"/>
    </row>
    <row r="19" spans="1:12" ht="20.100000000000001" customHeight="1" x14ac:dyDescent="0.15">
      <c r="A19" s="81" t="s">
        <v>23</v>
      </c>
      <c r="B19" s="129">
        <v>46096</v>
      </c>
      <c r="C19" s="147"/>
      <c r="D19" s="78"/>
      <c r="E19" s="78"/>
      <c r="F19" s="78"/>
      <c r="G19" s="78"/>
      <c r="H19" s="78"/>
      <c r="I19" s="78"/>
      <c r="J19" s="78"/>
    </row>
    <row r="20" spans="1:12" ht="20.100000000000001" customHeight="1" x14ac:dyDescent="0.15">
      <c r="A20" s="109" t="s">
        <v>24</v>
      </c>
      <c r="B20" s="108">
        <v>46097</v>
      </c>
      <c r="C20" s="142" t="s">
        <v>173</v>
      </c>
      <c r="D20" s="95">
        <v>200</v>
      </c>
      <c r="E20" s="95">
        <f>688905*1.1</f>
        <v>757795.50000000012</v>
      </c>
      <c r="F20" s="95">
        <v>232</v>
      </c>
      <c r="G20" s="95">
        <f>803293*1.1</f>
        <v>883622.3</v>
      </c>
      <c r="H20" s="95">
        <v>432</v>
      </c>
      <c r="I20" s="95">
        <f>750336*1.1</f>
        <v>825369.60000000009</v>
      </c>
      <c r="J20" s="95">
        <f>14645*1.1</f>
        <v>16109.500000000002</v>
      </c>
    </row>
    <row r="21" spans="1:12" ht="20.100000000000001" customHeight="1" x14ac:dyDescent="0.15">
      <c r="A21" s="109" t="s">
        <v>25</v>
      </c>
      <c r="B21" s="108">
        <v>46098</v>
      </c>
      <c r="C21" s="146" t="s">
        <v>175</v>
      </c>
      <c r="D21" s="15">
        <v>204</v>
      </c>
      <c r="E21" s="15">
        <f>695574*1.1</f>
        <v>765131.4</v>
      </c>
      <c r="F21" s="15">
        <v>193</v>
      </c>
      <c r="G21" s="15">
        <f>817451*1.1</f>
        <v>899196.10000000009</v>
      </c>
      <c r="H21" s="15">
        <v>397</v>
      </c>
      <c r="I21" s="15">
        <f>754824*1.1</f>
        <v>830306.4</v>
      </c>
      <c r="J21" s="15">
        <f>6664*1.1</f>
        <v>7330.4000000000005</v>
      </c>
      <c r="L21" s="93"/>
    </row>
    <row r="22" spans="1:12" ht="20.100000000000001" customHeight="1" x14ac:dyDescent="0.15">
      <c r="A22" s="109" t="s">
        <v>26</v>
      </c>
      <c r="B22" s="108">
        <v>46099</v>
      </c>
      <c r="C22" s="146" t="s">
        <v>175</v>
      </c>
      <c r="D22" s="15">
        <v>187</v>
      </c>
      <c r="E22" s="15">
        <f>695246*1.1</f>
        <v>764770.60000000009</v>
      </c>
      <c r="F22" s="15">
        <v>224</v>
      </c>
      <c r="G22" s="15">
        <f>830638*1.1</f>
        <v>913701.8</v>
      </c>
      <c r="H22" s="15">
        <v>411</v>
      </c>
      <c r="I22" s="15">
        <f>769036*1.1</f>
        <v>845939.60000000009</v>
      </c>
      <c r="J22" s="15">
        <f>20876*1.1</f>
        <v>22963.600000000002</v>
      </c>
    </row>
    <row r="23" spans="1:12" ht="20.100000000000001" customHeight="1" x14ac:dyDescent="0.15">
      <c r="A23" s="109" t="s">
        <v>27</v>
      </c>
      <c r="B23" s="108">
        <v>46100</v>
      </c>
      <c r="C23" s="146" t="s">
        <v>176</v>
      </c>
      <c r="D23" s="15">
        <v>177</v>
      </c>
      <c r="E23" s="15">
        <f>698847*1.1</f>
        <v>768731.70000000007</v>
      </c>
      <c r="F23" s="15">
        <v>193</v>
      </c>
      <c r="G23" s="15">
        <f>807212*1.1</f>
        <v>887933.20000000007</v>
      </c>
      <c r="H23" s="15">
        <v>370</v>
      </c>
      <c r="I23" s="15">
        <f>755373*1.1</f>
        <v>830910.3</v>
      </c>
      <c r="J23" s="15">
        <f>7213*1.1</f>
        <v>7934.3000000000011</v>
      </c>
    </row>
    <row r="24" spans="1:12" ht="20.45" customHeight="1" x14ac:dyDescent="0.15">
      <c r="A24" s="81" t="s">
        <v>28</v>
      </c>
      <c r="B24" s="129">
        <v>46101</v>
      </c>
      <c r="C24" s="149" t="s">
        <v>185</v>
      </c>
      <c r="D24" s="78"/>
      <c r="E24" s="78"/>
      <c r="F24" s="78"/>
      <c r="G24" s="78"/>
      <c r="H24" s="78"/>
      <c r="I24" s="78"/>
      <c r="J24" s="78"/>
    </row>
    <row r="25" spans="1:12" ht="20.45" customHeight="1" x14ac:dyDescent="0.15">
      <c r="A25" s="109" t="s">
        <v>29</v>
      </c>
      <c r="B25" s="108">
        <v>46102</v>
      </c>
      <c r="C25" s="146"/>
      <c r="D25" s="95"/>
      <c r="E25" s="95"/>
      <c r="F25" s="95"/>
      <c r="G25" s="95"/>
      <c r="H25" s="95"/>
      <c r="I25" s="95"/>
      <c r="J25" s="95"/>
    </row>
    <row r="26" spans="1:12" ht="20.100000000000001" customHeight="1" x14ac:dyDescent="0.15">
      <c r="A26" s="81" t="s">
        <v>30</v>
      </c>
      <c r="B26" s="129">
        <v>46103</v>
      </c>
      <c r="C26" s="147"/>
      <c r="D26" s="78"/>
      <c r="E26" s="78"/>
      <c r="F26" s="78"/>
      <c r="G26" s="78"/>
      <c r="H26" s="78"/>
      <c r="I26" s="78"/>
      <c r="J26" s="78"/>
    </row>
    <row r="27" spans="1:12" ht="20.100000000000001" customHeight="1" x14ac:dyDescent="0.15">
      <c r="A27" s="109" t="s">
        <v>31</v>
      </c>
      <c r="B27" s="108">
        <v>46104</v>
      </c>
      <c r="C27" s="150" t="s">
        <v>177</v>
      </c>
      <c r="D27" s="95">
        <v>104</v>
      </c>
      <c r="E27" s="95">
        <f>723279*1.1</f>
        <v>795606.9</v>
      </c>
      <c r="F27" s="95">
        <v>123</v>
      </c>
      <c r="G27" s="95">
        <f>833829*1.1</f>
        <v>917211.9</v>
      </c>
      <c r="H27" s="95">
        <v>227</v>
      </c>
      <c r="I27" s="95">
        <f>783181*1.1</f>
        <v>861499.10000000009</v>
      </c>
      <c r="J27" s="95">
        <f>58846*1.1</f>
        <v>64730.600000000006</v>
      </c>
    </row>
    <row r="28" spans="1:12" ht="20.100000000000001" customHeight="1" x14ac:dyDescent="0.15">
      <c r="A28" s="109" t="s">
        <v>32</v>
      </c>
      <c r="B28" s="108">
        <v>46105</v>
      </c>
      <c r="C28" s="136" t="s">
        <v>178</v>
      </c>
      <c r="D28" s="95">
        <v>168</v>
      </c>
      <c r="E28" s="95">
        <f>725655*1.1</f>
        <v>798220.50000000012</v>
      </c>
      <c r="F28" s="95">
        <v>184</v>
      </c>
      <c r="G28" s="95">
        <f>843446*1.1</f>
        <v>927790.60000000009</v>
      </c>
      <c r="H28" s="95">
        <v>352</v>
      </c>
      <c r="I28" s="95">
        <f>787227*1.1</f>
        <v>865949.70000000007</v>
      </c>
      <c r="J28" s="95">
        <f>21064*1.1</f>
        <v>23170.400000000001</v>
      </c>
    </row>
    <row r="29" spans="1:12" ht="20.100000000000001" customHeight="1" x14ac:dyDescent="0.15">
      <c r="A29" s="109" t="s">
        <v>33</v>
      </c>
      <c r="B29" s="108">
        <v>46106</v>
      </c>
      <c r="C29" s="146" t="s">
        <v>178</v>
      </c>
      <c r="D29" s="95">
        <v>152</v>
      </c>
      <c r="E29" s="95">
        <f>730829*1.1</f>
        <v>803911.9</v>
      </c>
      <c r="F29" s="95">
        <v>233</v>
      </c>
      <c r="G29" s="95">
        <f>826481*1.1</f>
        <v>909129.10000000009</v>
      </c>
      <c r="H29" s="95">
        <v>385</v>
      </c>
      <c r="I29" s="95">
        <f>788717*1.1</f>
        <v>867588.70000000007</v>
      </c>
      <c r="J29" s="95">
        <f>22554*1.1</f>
        <v>24809.4</v>
      </c>
    </row>
    <row r="30" spans="1:12" ht="20.100000000000001" customHeight="1" x14ac:dyDescent="0.15">
      <c r="A30" s="109" t="s">
        <v>34</v>
      </c>
      <c r="B30" s="108">
        <v>46107</v>
      </c>
      <c r="C30" s="146" t="s">
        <v>178</v>
      </c>
      <c r="D30" s="95">
        <v>167</v>
      </c>
      <c r="E30" s="95">
        <f>727563*1.1</f>
        <v>800319.3</v>
      </c>
      <c r="F30" s="95">
        <v>187</v>
      </c>
      <c r="G30" s="95">
        <f>825594*1.1</f>
        <v>908153.4</v>
      </c>
      <c r="H30" s="95">
        <v>354</v>
      </c>
      <c r="I30" s="95">
        <f>779347*1.1</f>
        <v>857281.70000000007</v>
      </c>
      <c r="J30" s="95">
        <f>13184*1.1</f>
        <v>14502.400000000001</v>
      </c>
    </row>
    <row r="31" spans="1:12" ht="20.100000000000001" customHeight="1" x14ac:dyDescent="0.15">
      <c r="A31" s="109" t="s">
        <v>35</v>
      </c>
      <c r="B31" s="108">
        <v>46108</v>
      </c>
      <c r="C31" s="146"/>
      <c r="D31" s="95"/>
      <c r="E31" s="95"/>
      <c r="F31" s="95"/>
      <c r="G31" s="95"/>
      <c r="H31" s="95"/>
      <c r="I31" s="95"/>
      <c r="J31" s="95"/>
    </row>
    <row r="32" spans="1:12" ht="20.100000000000001" customHeight="1" x14ac:dyDescent="0.15">
      <c r="A32" s="109" t="s">
        <v>36</v>
      </c>
      <c r="B32" s="108">
        <v>46109</v>
      </c>
      <c r="C32" s="150"/>
      <c r="D32" s="95"/>
      <c r="E32" s="95"/>
      <c r="F32" s="95"/>
      <c r="G32" s="95"/>
      <c r="H32" s="95"/>
      <c r="I32" s="95"/>
      <c r="J32" s="95"/>
    </row>
    <row r="33" spans="1:10" ht="20.100000000000001" customHeight="1" x14ac:dyDescent="0.15">
      <c r="A33" s="81" t="s">
        <v>37</v>
      </c>
      <c r="B33" s="129">
        <v>46110</v>
      </c>
      <c r="C33" s="145"/>
      <c r="D33" s="78"/>
      <c r="E33" s="78"/>
      <c r="F33" s="78"/>
      <c r="G33" s="78"/>
      <c r="H33" s="78">
        <f t="shared" ref="H33:H35" si="0">+D33+F33</f>
        <v>0</v>
      </c>
      <c r="I33" s="78"/>
      <c r="J33" s="78"/>
    </row>
    <row r="34" spans="1:10" ht="20.100000000000001" customHeight="1" x14ac:dyDescent="0.15">
      <c r="A34" s="109" t="s">
        <v>38</v>
      </c>
      <c r="B34" s="108">
        <v>46111</v>
      </c>
      <c r="C34" s="146"/>
      <c r="D34" s="95"/>
      <c r="E34" s="95"/>
      <c r="F34" s="95"/>
      <c r="G34" s="95"/>
      <c r="H34" s="95">
        <f t="shared" si="0"/>
        <v>0</v>
      </c>
      <c r="I34" s="95"/>
      <c r="J34" s="95"/>
    </row>
    <row r="35" spans="1:10" ht="20.100000000000001" customHeight="1" x14ac:dyDescent="0.15">
      <c r="A35" s="70" t="s">
        <v>111</v>
      </c>
      <c r="B35" s="108">
        <v>46112</v>
      </c>
      <c r="C35" s="146"/>
      <c r="D35" s="95"/>
      <c r="E35" s="95"/>
      <c r="F35" s="95"/>
      <c r="G35" s="95"/>
      <c r="H35" s="95">
        <f t="shared" si="0"/>
        <v>0</v>
      </c>
      <c r="I35" s="95"/>
      <c r="J35" s="95"/>
    </row>
    <row r="36" spans="1:10" ht="20.100000000000001" customHeight="1" x14ac:dyDescent="0.15">
      <c r="A36" s="245" t="s">
        <v>40</v>
      </c>
      <c r="B36" s="246"/>
      <c r="C36" s="70"/>
      <c r="D36" s="95">
        <f>SUM(D5:D35)</f>
        <v>2720</v>
      </c>
      <c r="E36" s="95">
        <f>AVERAGE(E5:E35)</f>
        <v>772945.33684210537</v>
      </c>
      <c r="F36" s="95">
        <f>SUM(F5:F35)</f>
        <v>3283</v>
      </c>
      <c r="G36" s="95">
        <f>AVERAGE(G5:G35)</f>
        <v>888159.45263157878</v>
      </c>
      <c r="H36" s="95">
        <f>SUM(H5:H35)</f>
        <v>6003</v>
      </c>
      <c r="I36" s="15">
        <f>SUMPRODUCT(H5:H35,I5:I35)/H36</f>
        <v>836400.39010494761</v>
      </c>
      <c r="J36" s="95"/>
    </row>
    <row r="37" spans="1:10" x14ac:dyDescent="0.15">
      <c r="A37" s="13"/>
      <c r="B37" s="56"/>
      <c r="C37" s="50" t="s">
        <v>161</v>
      </c>
      <c r="D37" s="13"/>
      <c r="E37" s="13"/>
      <c r="F37" s="10"/>
      <c r="G37" s="10"/>
      <c r="H37" s="111" t="s">
        <v>104</v>
      </c>
      <c r="I37" s="10">
        <f>I36/1.1</f>
        <v>760363.99100449774</v>
      </c>
      <c r="J37" s="10" t="s">
        <v>80</v>
      </c>
    </row>
    <row r="38" spans="1:10" ht="14.25" thickBot="1" x14ac:dyDescent="0.2">
      <c r="A38" s="13"/>
      <c r="B38" s="56"/>
      <c r="C38" s="13" t="s">
        <v>186</v>
      </c>
      <c r="D38" s="13"/>
      <c r="E38" s="13"/>
      <c r="F38" s="10"/>
      <c r="G38" s="10"/>
      <c r="H38" s="10"/>
      <c r="I38" s="10"/>
      <c r="J38" s="10"/>
    </row>
    <row r="39" spans="1:10" ht="13.15" customHeight="1" thickTop="1" thickBot="1" x14ac:dyDescent="0.2">
      <c r="A39" s="13"/>
      <c r="B39" s="11"/>
      <c r="C39" s="11"/>
      <c r="D39" s="13"/>
      <c r="E39" s="36"/>
      <c r="F39" s="36"/>
      <c r="G39" s="36"/>
      <c r="H39" s="228" t="s">
        <v>100</v>
      </c>
      <c r="I39" s="229"/>
      <c r="J39" s="36"/>
    </row>
    <row r="40" spans="1:10" ht="14.25" thickTop="1" x14ac:dyDescent="0.15">
      <c r="A40" s="13"/>
      <c r="B40" s="11"/>
      <c r="C40" s="11"/>
      <c r="D40" s="46"/>
      <c r="E40" s="233"/>
      <c r="F40" s="233"/>
      <c r="G40" s="13"/>
      <c r="H40" s="39" t="s">
        <v>99</v>
      </c>
      <c r="I40" s="75" t="s">
        <v>148</v>
      </c>
      <c r="J40" s="13"/>
    </row>
    <row r="41" spans="1:10" x14ac:dyDescent="0.15">
      <c r="A41" s="13"/>
      <c r="B41" s="11"/>
      <c r="C41" s="11"/>
      <c r="D41" s="46"/>
      <c r="E41" s="234"/>
      <c r="F41" s="234"/>
      <c r="G41" s="37"/>
      <c r="H41" s="31" t="s">
        <v>98</v>
      </c>
      <c r="I41" s="35">
        <f>I36</f>
        <v>836400.39010494761</v>
      </c>
      <c r="J41" s="36"/>
    </row>
    <row r="42" spans="1:10" x14ac:dyDescent="0.15">
      <c r="A42" s="13"/>
      <c r="B42" s="11"/>
      <c r="C42" s="11"/>
      <c r="D42" s="46"/>
      <c r="E42" s="234"/>
      <c r="F42" s="234"/>
      <c r="G42" s="38"/>
      <c r="H42" s="30" t="s">
        <v>44</v>
      </c>
      <c r="I42" s="33">
        <f>'2月'!I34</f>
        <v>813735.76238361269</v>
      </c>
      <c r="J42" s="36"/>
    </row>
    <row r="43" spans="1:10" ht="14.25" thickBot="1" x14ac:dyDescent="0.2">
      <c r="A43" s="13"/>
      <c r="B43" s="11"/>
      <c r="C43" s="11"/>
      <c r="D43" s="46"/>
      <c r="E43" s="234"/>
      <c r="F43" s="234"/>
      <c r="G43" s="36"/>
      <c r="H43" s="29" t="s">
        <v>45</v>
      </c>
      <c r="I43" s="34">
        <f>I41-I42</f>
        <v>22664.627721334924</v>
      </c>
      <c r="J43" s="36"/>
    </row>
    <row r="44" spans="1:10" ht="15" thickTop="1" thickBot="1" x14ac:dyDescent="0.2">
      <c r="A44" s="13"/>
      <c r="B44" s="11"/>
      <c r="C44" s="11"/>
      <c r="D44" s="12"/>
      <c r="E44" s="12"/>
      <c r="F44" s="13"/>
      <c r="G44" s="13"/>
      <c r="H44" s="13"/>
      <c r="I44" s="13"/>
      <c r="J44" s="12"/>
    </row>
    <row r="45" spans="1:10" ht="15" thickTop="1" thickBot="1" x14ac:dyDescent="0.2">
      <c r="A45" s="13"/>
      <c r="B45" s="56"/>
      <c r="C45" s="151"/>
      <c r="D45" s="13"/>
      <c r="E45" s="13"/>
      <c r="F45" s="13"/>
      <c r="G45" s="13"/>
      <c r="H45" s="228" t="s">
        <v>101</v>
      </c>
      <c r="I45" s="229"/>
      <c r="J45" s="13"/>
    </row>
    <row r="46" spans="1:10" ht="14.25" thickTop="1" x14ac:dyDescent="0.15">
      <c r="A46" s="13"/>
      <c r="B46" s="56"/>
      <c r="C46" s="151"/>
      <c r="D46" s="13"/>
      <c r="E46" s="13"/>
      <c r="F46" s="13"/>
      <c r="G46" s="13"/>
      <c r="H46" s="39" t="s">
        <v>99</v>
      </c>
      <c r="I46" s="75" t="s">
        <v>148</v>
      </c>
      <c r="J46" s="13"/>
    </row>
    <row r="47" spans="1:10" x14ac:dyDescent="0.15">
      <c r="A47" s="13"/>
      <c r="B47" s="56"/>
      <c r="C47" s="151"/>
      <c r="D47" s="13"/>
      <c r="E47" s="13"/>
      <c r="F47" s="13"/>
      <c r="G47" s="13"/>
      <c r="H47" s="31" t="s">
        <v>98</v>
      </c>
      <c r="I47" s="35">
        <f>I41</f>
        <v>836400.39010494761</v>
      </c>
      <c r="J47" s="13"/>
    </row>
    <row r="48" spans="1:10" x14ac:dyDescent="0.15">
      <c r="A48" s="13"/>
      <c r="B48" s="56"/>
      <c r="C48" s="151"/>
      <c r="D48" s="13"/>
      <c r="E48" s="13"/>
      <c r="F48" s="13"/>
      <c r="G48" s="13"/>
      <c r="H48" s="30" t="s">
        <v>77</v>
      </c>
      <c r="I48" s="33">
        <f>SUM(価格推移グラフ!ER5)</f>
        <v>626389.43893848418</v>
      </c>
      <c r="J48" s="13"/>
    </row>
    <row r="49" spans="1:10" ht="14.25" thickBot="1" x14ac:dyDescent="0.2">
      <c r="A49" s="13"/>
      <c r="B49" s="56"/>
      <c r="C49" s="151"/>
      <c r="D49" s="13"/>
      <c r="E49" s="13"/>
      <c r="F49" s="13"/>
      <c r="G49" s="13"/>
      <c r="H49" s="29" t="s">
        <v>78</v>
      </c>
      <c r="I49" s="34">
        <f>I47-I48</f>
        <v>210010.95116646343</v>
      </c>
      <c r="J49" s="13"/>
    </row>
    <row r="50" spans="1:10" ht="14.25" thickTop="1" x14ac:dyDescent="0.15">
      <c r="A50" s="13"/>
      <c r="B50" s="56"/>
      <c r="C50" s="151"/>
      <c r="D50" s="13"/>
      <c r="E50" s="13"/>
      <c r="F50" s="13"/>
      <c r="G50" s="13"/>
      <c r="H50" s="13"/>
      <c r="I50" s="13"/>
      <c r="J50" s="13"/>
    </row>
  </sheetData>
  <mergeCells count="14">
    <mergeCell ref="J3:J4"/>
    <mergeCell ref="A36:B36"/>
    <mergeCell ref="A3:A4"/>
    <mergeCell ref="B3:B4"/>
    <mergeCell ref="C3:C4"/>
    <mergeCell ref="D3:E3"/>
    <mergeCell ref="F3:G3"/>
    <mergeCell ref="H3:I3"/>
    <mergeCell ref="H45:I45"/>
    <mergeCell ref="H39:I39"/>
    <mergeCell ref="E40:F40"/>
    <mergeCell ref="E41:F41"/>
    <mergeCell ref="E42:F42"/>
    <mergeCell ref="E43:F43"/>
  </mergeCells>
  <phoneticPr fontId="1"/>
  <pageMargins left="0.7" right="0.7" top="0.75" bottom="0.75" header="0.3" footer="0.3"/>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O50"/>
  <sheetViews>
    <sheetView topLeftCell="A11" workbookViewId="0">
      <selection activeCell="L27" sqref="L27:L29"/>
    </sheetView>
  </sheetViews>
  <sheetFormatPr defaultColWidth="9" defaultRowHeight="13.5" x14ac:dyDescent="0.15"/>
  <cols>
    <col min="1" max="1" width="7.5" style="10" customWidth="1"/>
    <col min="2" max="2" width="8.25" style="10" customWidth="1"/>
    <col min="3" max="3" width="10" style="10" customWidth="1"/>
    <col min="4" max="6" width="9" style="10"/>
    <col min="7" max="7" width="9.25" style="10" bestFit="1" customWidth="1"/>
    <col min="8" max="8" width="9" style="10"/>
    <col min="9" max="9" width="10.125" style="10" bestFit="1" customWidth="1"/>
    <col min="10" max="10" width="9" style="10"/>
    <col min="11" max="12" width="11.375" style="55" bestFit="1" customWidth="1"/>
    <col min="13" max="16384" width="9" style="55"/>
  </cols>
  <sheetData>
    <row r="1" spans="1:10" ht="21.95" customHeight="1" x14ac:dyDescent="0.15">
      <c r="A1" s="105" t="s">
        <v>152</v>
      </c>
      <c r="B1" s="112"/>
      <c r="C1" s="113" t="s">
        <v>46</v>
      </c>
      <c r="D1" s="104"/>
      <c r="E1" s="105" t="s">
        <v>41</v>
      </c>
      <c r="F1" s="104"/>
      <c r="I1" s="10" t="s">
        <v>42</v>
      </c>
    </row>
    <row r="2" spans="1:10" ht="14.25" customHeight="1" x14ac:dyDescent="0.15">
      <c r="B2" s="107"/>
      <c r="C2" s="107"/>
      <c r="I2" s="107" t="s">
        <v>43</v>
      </c>
    </row>
    <row r="3" spans="1:10" ht="20.100000000000001" customHeight="1" x14ac:dyDescent="0.15">
      <c r="A3" s="221" t="s">
        <v>0</v>
      </c>
      <c r="B3" s="221" t="s">
        <v>1</v>
      </c>
      <c r="C3" s="221" t="s">
        <v>2</v>
      </c>
      <c r="D3" s="221" t="s">
        <v>5</v>
      </c>
      <c r="E3" s="221"/>
      <c r="F3" s="221" t="s">
        <v>6</v>
      </c>
      <c r="G3" s="221"/>
      <c r="H3" s="221" t="s">
        <v>7</v>
      </c>
      <c r="I3" s="221"/>
      <c r="J3" s="221" t="s">
        <v>8</v>
      </c>
    </row>
    <row r="4" spans="1:10" ht="20.100000000000001" customHeight="1" x14ac:dyDescent="0.15">
      <c r="A4" s="221"/>
      <c r="B4" s="221"/>
      <c r="C4" s="221"/>
      <c r="D4" s="99" t="s">
        <v>3</v>
      </c>
      <c r="E4" s="99" t="s">
        <v>4</v>
      </c>
      <c r="F4" s="99" t="s">
        <v>3</v>
      </c>
      <c r="G4" s="99" t="s">
        <v>4</v>
      </c>
      <c r="H4" s="99" t="s">
        <v>3</v>
      </c>
      <c r="I4" s="99" t="s">
        <v>4</v>
      </c>
      <c r="J4" s="221"/>
    </row>
    <row r="5" spans="1:10" ht="20.100000000000001" customHeight="1" x14ac:dyDescent="0.15">
      <c r="A5" s="99" t="s">
        <v>112</v>
      </c>
      <c r="B5" s="98">
        <v>46113</v>
      </c>
      <c r="C5" s="123"/>
      <c r="D5" s="95"/>
      <c r="E5" s="95"/>
      <c r="F5" s="95"/>
      <c r="G5" s="95"/>
      <c r="H5" s="95" t="str">
        <f>IF(D5=0,"",+D5+F5)</f>
        <v/>
      </c>
      <c r="I5" s="95"/>
      <c r="J5" s="95"/>
    </row>
    <row r="6" spans="1:10" ht="20.100000000000001" customHeight="1" x14ac:dyDescent="0.15">
      <c r="A6" s="99" t="s">
        <v>113</v>
      </c>
      <c r="B6" s="98">
        <v>46114</v>
      </c>
      <c r="C6" s="140" t="s">
        <v>187</v>
      </c>
      <c r="D6" s="95">
        <v>130</v>
      </c>
      <c r="E6" s="95">
        <f>682392*1.1</f>
        <v>750631.20000000007</v>
      </c>
      <c r="F6" s="95">
        <v>215</v>
      </c>
      <c r="G6" s="95">
        <f>807930*1.1</f>
        <v>888723.00000000012</v>
      </c>
      <c r="H6" s="95">
        <v>345</v>
      </c>
      <c r="I6" s="95">
        <f>INT(760626*1.1)</f>
        <v>836688</v>
      </c>
      <c r="J6" s="95">
        <f>59626*1.1</f>
        <v>65588.600000000006</v>
      </c>
    </row>
    <row r="7" spans="1:10" ht="20.100000000000001" customHeight="1" x14ac:dyDescent="0.15">
      <c r="A7" s="99" t="s">
        <v>91</v>
      </c>
      <c r="B7" s="98">
        <v>46115</v>
      </c>
      <c r="C7" s="140" t="s">
        <v>188</v>
      </c>
      <c r="D7" s="95">
        <v>194</v>
      </c>
      <c r="E7" s="95">
        <f>686536*1.1</f>
        <v>755189.60000000009</v>
      </c>
      <c r="F7" s="95">
        <v>193</v>
      </c>
      <c r="G7" s="95">
        <f>793415*1.1</f>
        <v>872756.50000000012</v>
      </c>
      <c r="H7" s="95">
        <v>387</v>
      </c>
      <c r="I7" s="95">
        <f>739837*1.1</f>
        <v>813820.70000000007</v>
      </c>
      <c r="J7" s="95">
        <f>3131*1.1</f>
        <v>3444.1000000000004</v>
      </c>
    </row>
    <row r="8" spans="1:10" ht="20.100000000000001" customHeight="1" x14ac:dyDescent="0.15">
      <c r="A8" s="99" t="s">
        <v>92</v>
      </c>
      <c r="B8" s="98">
        <v>46116</v>
      </c>
      <c r="C8" s="140" t="s">
        <v>189</v>
      </c>
      <c r="D8" s="95">
        <v>111</v>
      </c>
      <c r="E8" s="95">
        <f>677441*1.1</f>
        <v>745185.10000000009</v>
      </c>
      <c r="F8" s="95">
        <v>120</v>
      </c>
      <c r="G8" s="95">
        <f>809575*1.1</f>
        <v>890532.50000000012</v>
      </c>
      <c r="H8" s="95">
        <v>231</v>
      </c>
      <c r="I8" s="95">
        <f>746082*1.1</f>
        <v>820690.20000000007</v>
      </c>
      <c r="J8" s="95">
        <f>9376*1.1</f>
        <v>10313.6</v>
      </c>
    </row>
    <row r="9" spans="1:10" ht="20.100000000000001" customHeight="1" x14ac:dyDescent="0.15">
      <c r="A9" s="80" t="s">
        <v>93</v>
      </c>
      <c r="B9" s="77">
        <v>46117</v>
      </c>
      <c r="C9" s="164"/>
      <c r="D9" s="78"/>
      <c r="E9" s="78"/>
      <c r="F9" s="78"/>
      <c r="G9" s="78"/>
      <c r="H9" s="78"/>
      <c r="I9" s="78"/>
      <c r="J9" s="78"/>
    </row>
    <row r="10" spans="1:10" ht="20.100000000000001" customHeight="1" x14ac:dyDescent="0.15">
      <c r="A10" s="99" t="s">
        <v>87</v>
      </c>
      <c r="B10" s="98">
        <v>46118</v>
      </c>
      <c r="C10" s="140" t="s">
        <v>190</v>
      </c>
      <c r="D10" s="95">
        <v>149</v>
      </c>
      <c r="E10" s="95">
        <f>703463*1.1</f>
        <v>773809.3</v>
      </c>
      <c r="F10" s="95">
        <v>152</v>
      </c>
      <c r="G10" s="95">
        <f>834796*1.1</f>
        <v>918275.60000000009</v>
      </c>
      <c r="H10" s="95">
        <v>301</v>
      </c>
      <c r="I10" s="95">
        <f>769784*1.1</f>
        <v>846762.4</v>
      </c>
      <c r="J10" s="95">
        <f>-13993*1.1</f>
        <v>-15392.300000000001</v>
      </c>
    </row>
    <row r="11" spans="1:10" ht="20.100000000000001" customHeight="1" x14ac:dyDescent="0.15">
      <c r="A11" s="99" t="s">
        <v>94</v>
      </c>
      <c r="B11" s="98">
        <v>46119</v>
      </c>
      <c r="C11" s="140" t="s">
        <v>191</v>
      </c>
      <c r="D11" s="95">
        <v>132</v>
      </c>
      <c r="E11" s="95">
        <f>724015*1.1</f>
        <v>796416.50000000012</v>
      </c>
      <c r="F11" s="95">
        <v>136</v>
      </c>
      <c r="G11" s="95">
        <f>837721*1.1</f>
        <v>921493.10000000009</v>
      </c>
      <c r="H11" s="95">
        <v>268</v>
      </c>
      <c r="I11" s="95">
        <f>781716*1.1</f>
        <v>859887.60000000009</v>
      </c>
      <c r="J11" s="95">
        <f>-15619*1.1</f>
        <v>-17180.900000000001</v>
      </c>
    </row>
    <row r="12" spans="1:10" ht="20.100000000000001" customHeight="1" x14ac:dyDescent="0.15">
      <c r="A12" s="99" t="s">
        <v>88</v>
      </c>
      <c r="B12" s="98">
        <v>46120</v>
      </c>
      <c r="C12" s="140" t="s">
        <v>191</v>
      </c>
      <c r="D12" s="95">
        <v>123</v>
      </c>
      <c r="E12" s="95">
        <f>731268*1.1</f>
        <v>804394.8</v>
      </c>
      <c r="F12" s="95">
        <v>136</v>
      </c>
      <c r="G12" s="95">
        <f>826449*1.1</f>
        <v>909093.9</v>
      </c>
      <c r="H12" s="95">
        <v>259</v>
      </c>
      <c r="I12" s="95">
        <f>781247*1.1</f>
        <v>859371.70000000007</v>
      </c>
      <c r="J12" s="95">
        <f>-16088*1.1</f>
        <v>-17696.800000000003</v>
      </c>
    </row>
    <row r="13" spans="1:10" ht="20.100000000000001" customHeight="1" x14ac:dyDescent="0.15">
      <c r="A13" s="99" t="s">
        <v>95</v>
      </c>
      <c r="B13" s="98">
        <v>46121</v>
      </c>
      <c r="C13" s="140" t="s">
        <v>192</v>
      </c>
      <c r="D13" s="95">
        <v>113</v>
      </c>
      <c r="E13" s="95">
        <f>717717*1.1</f>
        <v>789488.70000000007</v>
      </c>
      <c r="F13" s="95">
        <v>193</v>
      </c>
      <c r="G13" s="95">
        <f>824358*1.1</f>
        <v>906793.8</v>
      </c>
      <c r="H13" s="95">
        <v>306</v>
      </c>
      <c r="I13" s="95">
        <f>784977*1.1</f>
        <v>863474.70000000007</v>
      </c>
      <c r="J13" s="95">
        <f>3365*1.1</f>
        <v>3701.5000000000005</v>
      </c>
    </row>
    <row r="14" spans="1:10" ht="20.100000000000001" customHeight="1" x14ac:dyDescent="0.15">
      <c r="A14" s="99" t="s">
        <v>89</v>
      </c>
      <c r="B14" s="98">
        <v>46122</v>
      </c>
      <c r="C14" s="140" t="s">
        <v>192</v>
      </c>
      <c r="D14" s="95">
        <v>136</v>
      </c>
      <c r="E14" s="95">
        <f>693426*1.1</f>
        <v>762768.60000000009</v>
      </c>
      <c r="F14" s="95">
        <v>146</v>
      </c>
      <c r="G14" s="95">
        <f>793349*1.1</f>
        <v>872683.9</v>
      </c>
      <c r="H14" s="95">
        <v>282</v>
      </c>
      <c r="I14" s="95">
        <f>745160*1.1</f>
        <v>819676.00000000012</v>
      </c>
      <c r="J14" s="95">
        <f>-29588*1.1</f>
        <v>-32546.800000000003</v>
      </c>
    </row>
    <row r="15" spans="1:10" ht="20.100000000000001" customHeight="1" x14ac:dyDescent="0.15">
      <c r="A15" s="99" t="s">
        <v>114</v>
      </c>
      <c r="B15" s="98">
        <v>46123</v>
      </c>
      <c r="C15" s="140"/>
      <c r="D15" s="95"/>
      <c r="E15" s="95"/>
      <c r="F15" s="95"/>
      <c r="G15" s="95"/>
      <c r="H15" s="95"/>
      <c r="I15" s="95"/>
      <c r="J15" s="95"/>
    </row>
    <row r="16" spans="1:10" ht="20.100000000000001" customHeight="1" x14ac:dyDescent="0.15">
      <c r="A16" s="80" t="s">
        <v>115</v>
      </c>
      <c r="B16" s="77">
        <v>46124</v>
      </c>
      <c r="C16" s="164"/>
      <c r="D16" s="78"/>
      <c r="E16" s="78"/>
      <c r="F16" s="78"/>
      <c r="G16" s="78"/>
      <c r="H16" s="78"/>
      <c r="I16" s="78"/>
      <c r="J16" s="78"/>
    </row>
    <row r="17" spans="1:15" ht="20.100000000000001" customHeight="1" x14ac:dyDescent="0.15">
      <c r="A17" s="99" t="s">
        <v>116</v>
      </c>
      <c r="B17" s="98">
        <v>46125</v>
      </c>
      <c r="C17" s="140"/>
      <c r="D17" s="95"/>
      <c r="E17" s="95"/>
      <c r="F17" s="95"/>
      <c r="G17" s="95"/>
      <c r="H17" s="95"/>
      <c r="I17" s="95"/>
      <c r="J17" s="95"/>
    </row>
    <row r="18" spans="1:15" ht="20.100000000000001" customHeight="1" x14ac:dyDescent="0.15">
      <c r="A18" s="99" t="s">
        <v>117</v>
      </c>
      <c r="B18" s="98">
        <v>46126</v>
      </c>
      <c r="C18" s="140"/>
      <c r="D18" s="95"/>
      <c r="E18" s="95"/>
      <c r="F18" s="95"/>
      <c r="G18" s="95"/>
      <c r="H18" s="95"/>
      <c r="I18" s="95"/>
      <c r="J18" s="95"/>
    </row>
    <row r="19" spans="1:15" ht="20.100000000000001" customHeight="1" x14ac:dyDescent="0.15">
      <c r="A19" s="99" t="s">
        <v>118</v>
      </c>
      <c r="B19" s="98">
        <v>46127</v>
      </c>
      <c r="C19" s="168" t="s">
        <v>193</v>
      </c>
      <c r="D19" s="95">
        <v>196</v>
      </c>
      <c r="E19" s="95">
        <f>709969*1.1</f>
        <v>780965.9</v>
      </c>
      <c r="F19" s="95">
        <v>205</v>
      </c>
      <c r="G19" s="95">
        <f>816956*1.1</f>
        <v>898651.60000000009</v>
      </c>
      <c r="H19" s="95">
        <v>401</v>
      </c>
      <c r="I19" s="95">
        <f>764152*1.1</f>
        <v>840567.20000000007</v>
      </c>
      <c r="J19" s="95">
        <f>3749*1.1</f>
        <v>4123.9000000000005</v>
      </c>
    </row>
    <row r="20" spans="1:15" ht="20.100000000000001" customHeight="1" x14ac:dyDescent="0.15">
      <c r="A20" s="99" t="s">
        <v>119</v>
      </c>
      <c r="B20" s="98">
        <v>46128</v>
      </c>
      <c r="C20" s="140" t="s">
        <v>193</v>
      </c>
      <c r="D20" s="95">
        <v>149</v>
      </c>
      <c r="E20" s="95">
        <f>720349*1.1</f>
        <v>792383.9</v>
      </c>
      <c r="F20" s="95">
        <v>256</v>
      </c>
      <c r="G20" s="95">
        <f>839113*1.1</f>
        <v>923024.3</v>
      </c>
      <c r="H20" s="95">
        <v>405</v>
      </c>
      <c r="I20" s="95">
        <f>795420*1.1</f>
        <v>874962.00000000012</v>
      </c>
      <c r="J20" s="95">
        <f>35017*1.1</f>
        <v>38518.700000000004</v>
      </c>
    </row>
    <row r="21" spans="1:15" ht="20.100000000000001" customHeight="1" x14ac:dyDescent="0.15">
      <c r="A21" s="99" t="s">
        <v>120</v>
      </c>
      <c r="B21" s="98">
        <v>46129</v>
      </c>
      <c r="C21" s="140" t="s">
        <v>194</v>
      </c>
      <c r="D21" s="95">
        <v>198</v>
      </c>
      <c r="E21" s="95">
        <f>737192*1.1</f>
        <v>810911.20000000007</v>
      </c>
      <c r="F21" s="95">
        <v>200</v>
      </c>
      <c r="G21" s="95">
        <f>851455*1.1</f>
        <v>936600.50000000012</v>
      </c>
      <c r="H21" s="95">
        <v>398</v>
      </c>
      <c r="I21" s="95">
        <f>794611*1.1</f>
        <v>874072.10000000009</v>
      </c>
      <c r="J21" s="95">
        <f>34208*1.1</f>
        <v>37628.800000000003</v>
      </c>
    </row>
    <row r="22" spans="1:15" ht="20.100000000000001" customHeight="1" x14ac:dyDescent="0.15">
      <c r="A22" s="99" t="s">
        <v>121</v>
      </c>
      <c r="B22" s="98">
        <v>46130</v>
      </c>
      <c r="C22" s="140"/>
      <c r="D22" s="95"/>
      <c r="E22" s="95"/>
      <c r="F22" s="95"/>
      <c r="G22" s="95"/>
      <c r="H22" s="95"/>
      <c r="I22" s="95"/>
      <c r="J22" s="95"/>
    </row>
    <row r="23" spans="1:15" ht="20.100000000000001" customHeight="1" x14ac:dyDescent="0.15">
      <c r="A23" s="80" t="s">
        <v>122</v>
      </c>
      <c r="B23" s="77">
        <v>46131</v>
      </c>
      <c r="C23" s="164"/>
      <c r="D23" s="78"/>
      <c r="E23" s="78"/>
      <c r="F23" s="78"/>
      <c r="G23" s="78"/>
      <c r="H23" s="78"/>
      <c r="I23" s="78"/>
      <c r="J23" s="78"/>
    </row>
    <row r="24" spans="1:15" ht="20.100000000000001" customHeight="1" x14ac:dyDescent="0.15">
      <c r="A24" s="99" t="s">
        <v>123</v>
      </c>
      <c r="B24" s="98">
        <v>46132</v>
      </c>
      <c r="C24" s="140"/>
      <c r="D24" s="95"/>
      <c r="E24" s="95"/>
      <c r="F24" s="95"/>
      <c r="G24" s="95"/>
      <c r="H24" s="95"/>
      <c r="I24" s="95"/>
      <c r="J24" s="95"/>
    </row>
    <row r="25" spans="1:15" ht="20.100000000000001" customHeight="1" x14ac:dyDescent="0.15">
      <c r="A25" s="99" t="s">
        <v>124</v>
      </c>
      <c r="B25" s="98">
        <v>46133</v>
      </c>
      <c r="C25" s="140" t="s">
        <v>195</v>
      </c>
      <c r="D25" s="95">
        <v>196</v>
      </c>
      <c r="E25" s="95">
        <f>725566*1.1</f>
        <v>798122.60000000009</v>
      </c>
      <c r="F25" s="95">
        <v>231</v>
      </c>
      <c r="G25" s="95">
        <f>837281*1.1</f>
        <v>921009.10000000009</v>
      </c>
      <c r="H25" s="95">
        <v>427</v>
      </c>
      <c r="I25" s="95">
        <f>786002*1.1</f>
        <v>864602.20000000007</v>
      </c>
      <c r="J25" s="95">
        <f>35666*1.1</f>
        <v>39232.600000000006</v>
      </c>
    </row>
    <row r="26" spans="1:15" ht="20.100000000000001" customHeight="1" x14ac:dyDescent="0.15">
      <c r="A26" s="99" t="s">
        <v>125</v>
      </c>
      <c r="B26" s="98">
        <v>46134</v>
      </c>
      <c r="C26" s="140"/>
      <c r="D26" s="95"/>
      <c r="E26" s="95"/>
      <c r="F26" s="95"/>
      <c r="G26" s="95"/>
      <c r="H26" s="95"/>
      <c r="I26" s="95"/>
      <c r="J26" s="95"/>
    </row>
    <row r="27" spans="1:15" ht="20.100000000000001" customHeight="1" x14ac:dyDescent="0.15">
      <c r="A27" s="99" t="s">
        <v>126</v>
      </c>
      <c r="B27" s="98">
        <v>46135</v>
      </c>
      <c r="C27" s="140" t="s">
        <v>196</v>
      </c>
      <c r="D27" s="95">
        <v>170</v>
      </c>
      <c r="E27" s="95">
        <f>750971*1.1</f>
        <v>826068.10000000009</v>
      </c>
      <c r="F27" s="95">
        <v>239</v>
      </c>
      <c r="G27" s="95">
        <f>847155*1.1</f>
        <v>931870.50000000012</v>
      </c>
      <c r="H27" s="95">
        <v>409</v>
      </c>
      <c r="I27" s="95">
        <f>807176*1.1</f>
        <v>887893.60000000009</v>
      </c>
      <c r="J27" s="95">
        <f>19949*1.1</f>
        <v>21943.9</v>
      </c>
    </row>
    <row r="28" spans="1:15" ht="20.100000000000001" customHeight="1" x14ac:dyDescent="0.15">
      <c r="A28" s="99" t="s">
        <v>127</v>
      </c>
      <c r="B28" s="98">
        <v>46136</v>
      </c>
      <c r="C28" s="140" t="s">
        <v>196</v>
      </c>
      <c r="D28" s="10">
        <v>179</v>
      </c>
      <c r="E28" s="95">
        <f>742302*1.1</f>
        <v>816532.20000000007</v>
      </c>
      <c r="F28" s="95">
        <v>221</v>
      </c>
      <c r="G28" s="95">
        <f>856624*1.1</f>
        <v>942286.4</v>
      </c>
      <c r="H28" s="95">
        <v>400</v>
      </c>
      <c r="I28" s="95">
        <f>805465*1.1</f>
        <v>886011.50000000012</v>
      </c>
      <c r="J28" s="95">
        <f>16748*1.1</f>
        <v>18422.800000000003</v>
      </c>
    </row>
    <row r="29" spans="1:15" ht="20.100000000000001" customHeight="1" x14ac:dyDescent="0.15">
      <c r="A29" s="99" t="s">
        <v>128</v>
      </c>
      <c r="B29" s="98">
        <v>46137</v>
      </c>
      <c r="C29" s="140" t="s">
        <v>196</v>
      </c>
      <c r="D29" s="95">
        <v>168</v>
      </c>
      <c r="E29" s="95">
        <f>737464*1.1</f>
        <v>811210.4</v>
      </c>
      <c r="F29" s="95">
        <v>197</v>
      </c>
      <c r="G29" s="95">
        <f>855772*1.1</f>
        <v>941349.20000000007</v>
      </c>
      <c r="H29" s="95">
        <v>365</v>
      </c>
      <c r="I29" s="95">
        <f>801318*1.1</f>
        <v>881449.8</v>
      </c>
      <c r="J29" s="95">
        <f>21971*1.1</f>
        <v>24168.100000000002</v>
      </c>
    </row>
    <row r="30" spans="1:15" ht="20.100000000000001" customHeight="1" x14ac:dyDescent="0.15">
      <c r="A30" s="80" t="s">
        <v>129</v>
      </c>
      <c r="B30" s="77">
        <v>46138</v>
      </c>
      <c r="C30" s="141"/>
      <c r="D30" s="78"/>
      <c r="E30" s="78"/>
      <c r="F30" s="78"/>
      <c r="G30" s="78"/>
      <c r="H30" s="78" t="str">
        <f t="shared" ref="H30:H34" si="0">IF(D30=0,"",+D30+F30)</f>
        <v/>
      </c>
      <c r="I30" s="78"/>
      <c r="J30" s="78"/>
      <c r="L30" s="55">
        <f>SUM(H27:H29)</f>
        <v>1174</v>
      </c>
      <c r="M30" s="55">
        <v>804772</v>
      </c>
      <c r="N30" s="55">
        <v>1122</v>
      </c>
      <c r="O30" s="55">
        <v>780621</v>
      </c>
    </row>
    <row r="31" spans="1:15" ht="20.100000000000001" customHeight="1" x14ac:dyDescent="0.15">
      <c r="A31" s="99" t="s">
        <v>130</v>
      </c>
      <c r="B31" s="98">
        <v>46139</v>
      </c>
      <c r="C31" s="140"/>
      <c r="D31" s="95"/>
      <c r="E31" s="95"/>
      <c r="F31" s="95"/>
      <c r="G31" s="95"/>
      <c r="H31" s="95" t="str">
        <f t="shared" si="0"/>
        <v/>
      </c>
      <c r="I31" s="95"/>
      <c r="J31" s="95"/>
    </row>
    <row r="32" spans="1:15" ht="19.899999999999999" customHeight="1" x14ac:dyDescent="0.15">
      <c r="A32" s="99" t="s">
        <v>131</v>
      </c>
      <c r="B32" s="98">
        <v>46140</v>
      </c>
      <c r="C32" s="123"/>
      <c r="D32" s="95"/>
      <c r="E32" s="95"/>
      <c r="F32" s="95"/>
      <c r="G32" s="95"/>
      <c r="H32" s="95" t="str">
        <f t="shared" si="0"/>
        <v/>
      </c>
      <c r="I32" s="95"/>
      <c r="J32" s="95"/>
    </row>
    <row r="33" spans="1:10" ht="20.100000000000001" customHeight="1" x14ac:dyDescent="0.15">
      <c r="A33" s="80" t="s">
        <v>132</v>
      </c>
      <c r="B33" s="77">
        <v>46141</v>
      </c>
      <c r="C33" s="166" t="s">
        <v>197</v>
      </c>
      <c r="D33" s="78"/>
      <c r="E33" s="78"/>
      <c r="F33" s="78"/>
      <c r="G33" s="78"/>
      <c r="H33" s="78" t="str">
        <f t="shared" si="0"/>
        <v/>
      </c>
      <c r="I33" s="78"/>
      <c r="J33" s="78"/>
    </row>
    <row r="34" spans="1:10" ht="20.100000000000001" customHeight="1" x14ac:dyDescent="0.15">
      <c r="A34" s="99" t="s">
        <v>133</v>
      </c>
      <c r="B34" s="98">
        <v>46142</v>
      </c>
      <c r="C34" s="140"/>
      <c r="D34" s="95"/>
      <c r="E34" s="95"/>
      <c r="F34" s="95"/>
      <c r="G34" s="95"/>
      <c r="H34" s="95" t="str">
        <f t="shared" si="0"/>
        <v/>
      </c>
      <c r="I34" s="95"/>
      <c r="J34" s="95"/>
    </row>
    <row r="35" spans="1:10" ht="20.100000000000001" customHeight="1" x14ac:dyDescent="0.15">
      <c r="A35" s="248" t="s">
        <v>40</v>
      </c>
      <c r="B35" s="249"/>
      <c r="C35" s="167"/>
      <c r="D35" s="100">
        <f>SUM(D5:D34)</f>
        <v>2344</v>
      </c>
      <c r="E35" s="100">
        <f>AVERAGE(E5:E34)</f>
        <v>787605.20666666667</v>
      </c>
      <c r="F35" s="100">
        <f>SUM(F6:F34)</f>
        <v>2840</v>
      </c>
      <c r="G35" s="100">
        <f>AVERAGE(G5:G34)</f>
        <v>911676.26000000013</v>
      </c>
      <c r="H35" s="100">
        <f>SUM(D35+F35)</f>
        <v>5184</v>
      </c>
      <c r="I35" s="15">
        <f>SUMPRODUCT(H4:H34,I4:I34)/H35</f>
        <v>857298.43337191362</v>
      </c>
      <c r="J35" s="100"/>
    </row>
    <row r="36" spans="1:10" ht="20.100000000000001" customHeight="1" x14ac:dyDescent="0.15">
      <c r="B36" s="107"/>
      <c r="C36" s="50" t="s">
        <v>161</v>
      </c>
      <c r="H36" s="111" t="s">
        <v>105</v>
      </c>
      <c r="I36" s="10">
        <f>I35/1.1</f>
        <v>779362.21215628507</v>
      </c>
    </row>
    <row r="37" spans="1:10" ht="12.6" customHeight="1" x14ac:dyDescent="0.15">
      <c r="B37" s="107"/>
      <c r="C37" s="13" t="s">
        <v>186</v>
      </c>
      <c r="H37" s="111"/>
    </row>
    <row r="38" spans="1:10" ht="12.6" customHeight="1" thickBot="1" x14ac:dyDescent="0.2">
      <c r="A38" s="16"/>
      <c r="B38" s="9"/>
      <c r="C38" s="9"/>
    </row>
    <row r="39" spans="1:10" s="3" customFormat="1" ht="12.6" customHeight="1" thickTop="1" thickBot="1" x14ac:dyDescent="0.2">
      <c r="A39" s="56"/>
      <c r="B39" s="11"/>
      <c r="C39" s="11"/>
      <c r="D39" s="56"/>
      <c r="E39" s="36"/>
      <c r="F39" s="36"/>
      <c r="G39" s="36"/>
      <c r="H39" s="228" t="s">
        <v>100</v>
      </c>
      <c r="I39" s="229"/>
      <c r="J39" s="36"/>
    </row>
    <row r="40" spans="1:10" s="3" customFormat="1" ht="14.25" thickTop="1" x14ac:dyDescent="0.15">
      <c r="A40" s="56"/>
      <c r="B40" s="11"/>
      <c r="C40" s="11"/>
      <c r="D40" s="46"/>
      <c r="E40" s="233"/>
      <c r="F40" s="233"/>
      <c r="G40" s="56"/>
      <c r="H40" s="57" t="s">
        <v>99</v>
      </c>
      <c r="I40" s="76" t="s">
        <v>148</v>
      </c>
      <c r="J40" s="56"/>
    </row>
    <row r="41" spans="1:10" s="3" customFormat="1" x14ac:dyDescent="0.15">
      <c r="A41" s="56"/>
      <c r="B41" s="11"/>
      <c r="C41" s="11"/>
      <c r="D41" s="46"/>
      <c r="E41" s="234"/>
      <c r="F41" s="234"/>
      <c r="G41" s="37"/>
      <c r="H41" s="31" t="s">
        <v>98</v>
      </c>
      <c r="I41" s="35">
        <f>I35</f>
        <v>857298.43337191362</v>
      </c>
      <c r="J41" s="36"/>
    </row>
    <row r="42" spans="1:10" s="3" customFormat="1" x14ac:dyDescent="0.15">
      <c r="A42" s="56"/>
      <c r="B42" s="11"/>
      <c r="C42" s="11"/>
      <c r="D42" s="46"/>
      <c r="E42" s="234"/>
      <c r="F42" s="234"/>
      <c r="G42" s="38"/>
      <c r="H42" s="30" t="s">
        <v>44</v>
      </c>
      <c r="I42" s="33">
        <f>'3月'!I36</f>
        <v>836400.39010494761</v>
      </c>
      <c r="J42" s="36"/>
    </row>
    <row r="43" spans="1:10" s="3" customFormat="1" ht="14.25" thickBot="1" x14ac:dyDescent="0.2">
      <c r="A43" s="56"/>
      <c r="B43" s="11"/>
      <c r="C43" s="11"/>
      <c r="D43" s="46"/>
      <c r="E43" s="234"/>
      <c r="F43" s="234"/>
      <c r="G43" s="36"/>
      <c r="H43" s="29" t="s">
        <v>45</v>
      </c>
      <c r="I43" s="34">
        <f>I41-I42</f>
        <v>20898.043266966008</v>
      </c>
      <c r="J43" s="36"/>
    </row>
    <row r="44" spans="1:10" s="3" customFormat="1" ht="15" thickTop="1" thickBot="1" x14ac:dyDescent="0.2">
      <c r="A44" s="56"/>
      <c r="B44" s="11"/>
      <c r="C44" s="11"/>
      <c r="D44" s="12"/>
      <c r="E44" s="12"/>
      <c r="F44" s="56"/>
      <c r="G44" s="56"/>
      <c r="H44" s="56"/>
      <c r="I44" s="56"/>
      <c r="J44" s="12"/>
    </row>
    <row r="45" spans="1:10" s="3" customFormat="1" ht="15" thickTop="1" thickBot="1" x14ac:dyDescent="0.2">
      <c r="A45" s="56"/>
      <c r="B45" s="56"/>
      <c r="C45" s="56"/>
      <c r="D45" s="56"/>
      <c r="E45" s="56"/>
      <c r="F45" s="56"/>
      <c r="G45" s="56"/>
      <c r="H45" s="228" t="s">
        <v>101</v>
      </c>
      <c r="I45" s="229"/>
      <c r="J45" s="56"/>
    </row>
    <row r="46" spans="1:10" s="3" customFormat="1" ht="14.25" thickTop="1" x14ac:dyDescent="0.15">
      <c r="A46" s="56"/>
      <c r="B46" s="56"/>
      <c r="C46" s="56"/>
      <c r="D46" s="56"/>
      <c r="E46" s="56"/>
      <c r="F46" s="56"/>
      <c r="G46" s="56"/>
      <c r="H46" s="57" t="s">
        <v>99</v>
      </c>
      <c r="I46" s="76" t="s">
        <v>148</v>
      </c>
      <c r="J46" s="56"/>
    </row>
    <row r="47" spans="1:10" s="3" customFormat="1" x14ac:dyDescent="0.15">
      <c r="A47" s="56"/>
      <c r="B47" s="56"/>
      <c r="C47" s="56"/>
      <c r="D47" s="56"/>
      <c r="E47" s="56"/>
      <c r="F47" s="56"/>
      <c r="G47" s="56"/>
      <c r="H47" s="31" t="s">
        <v>98</v>
      </c>
      <c r="I47" s="35">
        <f>I41</f>
        <v>857298.43337191362</v>
      </c>
      <c r="J47" s="56"/>
    </row>
    <row r="48" spans="1:10" s="3" customFormat="1" x14ac:dyDescent="0.15">
      <c r="A48" s="56"/>
      <c r="B48" s="56"/>
      <c r="C48" s="56"/>
      <c r="D48" s="116"/>
      <c r="E48" s="56"/>
      <c r="F48" s="56"/>
      <c r="G48" s="56"/>
      <c r="H48" s="30" t="s">
        <v>77</v>
      </c>
      <c r="I48" s="33">
        <f>SUM(価格推移グラフ!ES5)</f>
        <v>659020.52934822417</v>
      </c>
      <c r="J48" s="56"/>
    </row>
    <row r="49" spans="1:10" s="3" customFormat="1" ht="14.25" thickBot="1" x14ac:dyDescent="0.2">
      <c r="A49" s="56"/>
      <c r="B49" s="56"/>
      <c r="C49" s="56"/>
      <c r="D49" s="56"/>
      <c r="E49" s="56"/>
      <c r="F49" s="56"/>
      <c r="G49" s="56"/>
      <c r="H49" s="29" t="s">
        <v>78</v>
      </c>
      <c r="I49" s="34">
        <f>I47-I48</f>
        <v>198277.90402368945</v>
      </c>
      <c r="J49" s="56"/>
    </row>
    <row r="50" spans="1:10" ht="14.25" thickTop="1" x14ac:dyDescent="0.15"/>
  </sheetData>
  <mergeCells count="14">
    <mergeCell ref="J3:J4"/>
    <mergeCell ref="A35:B35"/>
    <mergeCell ref="A3:A4"/>
    <mergeCell ref="B3:B4"/>
    <mergeCell ref="C3:C4"/>
    <mergeCell ref="D3:E3"/>
    <mergeCell ref="F3:G3"/>
    <mergeCell ref="H3:I3"/>
    <mergeCell ref="H45:I45"/>
    <mergeCell ref="H39:I39"/>
    <mergeCell ref="E40:F40"/>
    <mergeCell ref="E41:F41"/>
    <mergeCell ref="E42:F42"/>
    <mergeCell ref="E43:F43"/>
  </mergeCells>
  <phoneticPr fontId="1"/>
  <pageMargins left="0.7" right="0.7" top="0.75" bottom="0.75" header="0.3" footer="0.3"/>
  <pageSetup paperSize="9" scale="88"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sheetPr>
  <dimension ref="A1:R50"/>
  <sheetViews>
    <sheetView topLeftCell="A13" workbookViewId="0">
      <selection activeCell="I27" sqref="I27"/>
    </sheetView>
  </sheetViews>
  <sheetFormatPr defaultColWidth="8.875" defaultRowHeight="13.5" x14ac:dyDescent="0.15"/>
  <cols>
    <col min="1" max="1" width="7.875" style="16" customWidth="1"/>
    <col min="2" max="2" width="8.5" style="16" customWidth="1"/>
    <col min="3" max="3" width="11.25" style="9" customWidth="1"/>
    <col min="4" max="4" width="9" style="16" customWidth="1"/>
    <col min="5" max="5" width="9.25" style="16" bestFit="1" customWidth="1"/>
    <col min="6" max="6" width="9" style="16"/>
    <col min="7" max="7" width="10.125" style="16" bestFit="1" customWidth="1"/>
    <col min="8" max="8" width="9" style="16"/>
    <col min="9" max="9" width="9.25" style="16" bestFit="1" customWidth="1"/>
    <col min="10" max="10" width="9" style="16" customWidth="1"/>
    <col min="11" max="11" width="10.25" style="55" bestFit="1" customWidth="1"/>
    <col min="12" max="12" width="8.875" style="55"/>
    <col min="13" max="13" width="8.875" style="3"/>
    <col min="14" max="14" width="10.5" style="3" bestFit="1" customWidth="1"/>
    <col min="15" max="16384" width="8.875" style="3"/>
  </cols>
  <sheetData>
    <row r="1" spans="1:12" ht="20.100000000000001" customHeight="1" x14ac:dyDescent="0.15">
      <c r="A1" s="58" t="s">
        <v>153</v>
      </c>
      <c r="B1" s="103"/>
      <c r="C1" s="118" t="s">
        <v>46</v>
      </c>
      <c r="D1" s="104"/>
      <c r="E1" s="105" t="s">
        <v>41</v>
      </c>
      <c r="F1" s="104"/>
      <c r="G1" s="10"/>
      <c r="H1" s="10"/>
      <c r="I1" s="10" t="s">
        <v>42</v>
      </c>
      <c r="J1" s="10"/>
      <c r="L1" s="119"/>
    </row>
    <row r="2" spans="1:12" ht="20.100000000000001" customHeight="1" x14ac:dyDescent="0.15">
      <c r="B2" s="120"/>
      <c r="D2" s="10"/>
      <c r="E2" s="10"/>
      <c r="F2" s="10"/>
      <c r="G2" s="10"/>
      <c r="H2" s="10"/>
      <c r="I2" s="107" t="s">
        <v>43</v>
      </c>
      <c r="J2" s="10"/>
    </row>
    <row r="3" spans="1:12" ht="20.100000000000001" customHeight="1" x14ac:dyDescent="0.15">
      <c r="A3" s="222" t="s">
        <v>0</v>
      </c>
      <c r="B3" s="222" t="s">
        <v>1</v>
      </c>
      <c r="C3" s="222" t="s">
        <v>2</v>
      </c>
      <c r="D3" s="221" t="s">
        <v>5</v>
      </c>
      <c r="E3" s="221"/>
      <c r="F3" s="221" t="s">
        <v>6</v>
      </c>
      <c r="G3" s="221"/>
      <c r="H3" s="221" t="s">
        <v>7</v>
      </c>
      <c r="I3" s="221"/>
      <c r="J3" s="221" t="s">
        <v>8</v>
      </c>
    </row>
    <row r="4" spans="1:12" ht="20.100000000000001" customHeight="1" x14ac:dyDescent="0.15">
      <c r="A4" s="222"/>
      <c r="B4" s="222"/>
      <c r="C4" s="222"/>
      <c r="D4" s="99" t="s">
        <v>3</v>
      </c>
      <c r="E4" s="99" t="s">
        <v>4</v>
      </c>
      <c r="F4" s="99" t="s">
        <v>3</v>
      </c>
      <c r="G4" s="99" t="s">
        <v>4</v>
      </c>
      <c r="H4" s="99" t="s">
        <v>3</v>
      </c>
      <c r="I4" s="99" t="s">
        <v>4</v>
      </c>
      <c r="J4" s="221"/>
    </row>
    <row r="5" spans="1:12" ht="20.100000000000001" customHeight="1" x14ac:dyDescent="0.15">
      <c r="A5" s="70" t="s">
        <v>112</v>
      </c>
      <c r="B5" s="110">
        <v>46143</v>
      </c>
      <c r="C5" s="146"/>
      <c r="D5" s="95"/>
      <c r="E5" s="95"/>
      <c r="F5" s="95"/>
      <c r="G5" s="95"/>
      <c r="H5" s="95"/>
      <c r="I5" s="95"/>
      <c r="J5" s="95"/>
    </row>
    <row r="6" spans="1:12" ht="19.149999999999999" customHeight="1" x14ac:dyDescent="0.15">
      <c r="A6" s="70" t="s">
        <v>113</v>
      </c>
      <c r="B6" s="110">
        <v>46144</v>
      </c>
      <c r="C6" s="146"/>
      <c r="D6" s="95"/>
      <c r="E6" s="95"/>
      <c r="F6" s="95"/>
      <c r="G6" s="95"/>
      <c r="H6" s="95"/>
      <c r="I6" s="95"/>
      <c r="J6" s="95"/>
    </row>
    <row r="7" spans="1:12" ht="19.149999999999999" customHeight="1" x14ac:dyDescent="0.15">
      <c r="A7" s="83" t="s">
        <v>91</v>
      </c>
      <c r="B7" s="82">
        <v>46145</v>
      </c>
      <c r="C7" s="169" t="s">
        <v>198</v>
      </c>
      <c r="D7" s="78"/>
      <c r="E7" s="78"/>
      <c r="F7" s="78"/>
      <c r="G7" s="78"/>
      <c r="H7" s="78"/>
      <c r="I7" s="78"/>
      <c r="J7" s="78"/>
    </row>
    <row r="8" spans="1:12" ht="19.149999999999999" customHeight="1" x14ac:dyDescent="0.15">
      <c r="A8" s="83" t="s">
        <v>92</v>
      </c>
      <c r="B8" s="82">
        <v>46146</v>
      </c>
      <c r="C8" s="169" t="s">
        <v>199</v>
      </c>
      <c r="D8" s="78"/>
      <c r="E8" s="78"/>
      <c r="F8" s="78"/>
      <c r="G8" s="78"/>
      <c r="H8" s="78"/>
      <c r="I8" s="78"/>
      <c r="J8" s="78"/>
    </row>
    <row r="9" spans="1:12" ht="19.149999999999999" customHeight="1" x14ac:dyDescent="0.15">
      <c r="A9" s="83" t="s">
        <v>93</v>
      </c>
      <c r="B9" s="82">
        <v>46147</v>
      </c>
      <c r="C9" s="170" t="s">
        <v>200</v>
      </c>
      <c r="D9" s="78"/>
      <c r="E9" s="78"/>
      <c r="F9" s="78"/>
      <c r="G9" s="78"/>
      <c r="H9" s="78"/>
      <c r="I9" s="78"/>
      <c r="J9" s="78"/>
    </row>
    <row r="10" spans="1:12" ht="19.149999999999999" customHeight="1" x14ac:dyDescent="0.15">
      <c r="A10" s="83" t="s">
        <v>87</v>
      </c>
      <c r="B10" s="82">
        <v>46148</v>
      </c>
      <c r="C10" s="169" t="s">
        <v>206</v>
      </c>
      <c r="D10" s="78"/>
      <c r="E10" s="78"/>
      <c r="F10" s="78"/>
      <c r="G10" s="78"/>
      <c r="H10" s="78"/>
      <c r="I10" s="78"/>
      <c r="J10" s="78"/>
    </row>
    <row r="11" spans="1:12" ht="19.149999999999999" customHeight="1" x14ac:dyDescent="0.15">
      <c r="A11" s="70" t="s">
        <v>94</v>
      </c>
      <c r="B11" s="110">
        <v>46149</v>
      </c>
      <c r="C11" s="140" t="s">
        <v>201</v>
      </c>
      <c r="D11" s="95">
        <v>175</v>
      </c>
      <c r="E11" s="95">
        <f>716166*1.1</f>
        <v>787782.60000000009</v>
      </c>
      <c r="F11" s="95">
        <v>207</v>
      </c>
      <c r="G11" s="95">
        <f>802164*1.1</f>
        <v>882380.4</v>
      </c>
      <c r="H11" s="95">
        <v>382</v>
      </c>
      <c r="I11" s="95">
        <f>INT(762767*1.1)</f>
        <v>839043</v>
      </c>
      <c r="J11" s="95">
        <f>27162*1.1</f>
        <v>29878.2</v>
      </c>
      <c r="K11" s="121"/>
    </row>
    <row r="12" spans="1:12" ht="20.100000000000001" customHeight="1" x14ac:dyDescent="0.15">
      <c r="A12" s="70" t="s">
        <v>88</v>
      </c>
      <c r="B12" s="110">
        <v>46150</v>
      </c>
      <c r="C12" s="140" t="s">
        <v>202</v>
      </c>
      <c r="D12" s="95">
        <v>106</v>
      </c>
      <c r="E12" s="95">
        <f>710519*1.1</f>
        <v>781570.9</v>
      </c>
      <c r="F12" s="95">
        <v>135</v>
      </c>
      <c r="G12" s="95">
        <f>805430*1.1</f>
        <v>885973.00000000012</v>
      </c>
      <c r="H12" s="95">
        <v>241</v>
      </c>
      <c r="I12" s="95">
        <f>INT(763685*1.1)</f>
        <v>840053</v>
      </c>
      <c r="J12" s="95">
        <f>40121*1.13</f>
        <v>45336.729999999996</v>
      </c>
      <c r="K12" s="121"/>
    </row>
    <row r="13" spans="1:12" ht="20.100000000000001" customHeight="1" x14ac:dyDescent="0.15">
      <c r="A13" s="109" t="s">
        <v>17</v>
      </c>
      <c r="B13" s="110">
        <v>46151</v>
      </c>
      <c r="C13" s="146" t="s">
        <v>203</v>
      </c>
      <c r="D13" s="95">
        <v>63</v>
      </c>
      <c r="E13" s="95">
        <f>717476*1.1</f>
        <v>789223.60000000009</v>
      </c>
      <c r="F13" s="95">
        <v>84</v>
      </c>
      <c r="G13" s="95">
        <f>775131*1.1</f>
        <v>852644.10000000009</v>
      </c>
      <c r="H13" s="95">
        <v>147</v>
      </c>
      <c r="I13" s="95">
        <f>INT(750422*1.1)</f>
        <v>825464</v>
      </c>
      <c r="J13" s="95">
        <f>26859*1.1</f>
        <v>29544.9</v>
      </c>
      <c r="K13" s="121"/>
    </row>
    <row r="14" spans="1:12" ht="20.100000000000001" customHeight="1" x14ac:dyDescent="0.15">
      <c r="A14" s="83" t="s">
        <v>18</v>
      </c>
      <c r="B14" s="82">
        <v>46152</v>
      </c>
      <c r="C14" s="145" t="s">
        <v>188</v>
      </c>
      <c r="D14" s="78">
        <v>171</v>
      </c>
      <c r="E14" s="78">
        <f>704825*1.1</f>
        <v>775307.50000000012</v>
      </c>
      <c r="F14" s="78">
        <v>247</v>
      </c>
      <c r="G14" s="78">
        <f>818158*1.1</f>
        <v>899973.8</v>
      </c>
      <c r="H14" s="78">
        <v>418</v>
      </c>
      <c r="I14" s="78">
        <f>INT(771794*1.1)</f>
        <v>848973</v>
      </c>
      <c r="J14" s="78">
        <f>32214*1.1</f>
        <v>35435.4</v>
      </c>
      <c r="K14" s="121"/>
    </row>
    <row r="15" spans="1:12" ht="20.100000000000001" customHeight="1" x14ac:dyDescent="0.15">
      <c r="A15" s="70" t="s">
        <v>19</v>
      </c>
      <c r="B15" s="110">
        <v>46153</v>
      </c>
      <c r="C15" s="171" t="s">
        <v>204</v>
      </c>
      <c r="D15" s="95">
        <v>105</v>
      </c>
      <c r="E15" s="95">
        <f>703381*1.1</f>
        <v>773719.10000000009</v>
      </c>
      <c r="F15" s="95">
        <v>133</v>
      </c>
      <c r="G15" s="95">
        <f>810466*1.1</f>
        <v>891512.60000000009</v>
      </c>
      <c r="H15" s="95">
        <v>238</v>
      </c>
      <c r="I15" s="95">
        <f>INT(763223*1.1)</f>
        <v>839545</v>
      </c>
      <c r="J15" s="95">
        <f>23643*1.1</f>
        <v>26007.300000000003</v>
      </c>
      <c r="K15" s="121"/>
    </row>
    <row r="16" spans="1:12" ht="23.45" customHeight="1" x14ac:dyDescent="0.15">
      <c r="A16" s="70" t="s">
        <v>20</v>
      </c>
      <c r="B16" s="110">
        <v>46154</v>
      </c>
      <c r="C16" s="171" t="s">
        <v>230</v>
      </c>
      <c r="D16" s="95">
        <v>74</v>
      </c>
      <c r="E16" s="95">
        <f>703446*1.1</f>
        <v>773790.60000000009</v>
      </c>
      <c r="F16" s="95">
        <v>100</v>
      </c>
      <c r="G16" s="95">
        <f>819410*1.1</f>
        <v>901351.00000000012</v>
      </c>
      <c r="H16" s="95">
        <v>174</v>
      </c>
      <c r="I16" s="95">
        <f>INT(770092*1.1)</f>
        <v>847101</v>
      </c>
      <c r="J16" s="95">
        <f>58403*1.1</f>
        <v>64243.3</v>
      </c>
      <c r="K16" s="121"/>
    </row>
    <row r="17" spans="1:13" ht="20.100000000000001" customHeight="1" x14ac:dyDescent="0.15">
      <c r="A17" s="70" t="s">
        <v>20</v>
      </c>
      <c r="B17" s="110">
        <v>46154</v>
      </c>
      <c r="C17" s="172" t="s">
        <v>231</v>
      </c>
      <c r="D17" s="95">
        <v>76</v>
      </c>
      <c r="E17" s="95">
        <f>703789*1.1</f>
        <v>774167.9</v>
      </c>
      <c r="F17" s="95">
        <v>118</v>
      </c>
      <c r="G17" s="95">
        <f>771949*1.1</f>
        <v>849143.9</v>
      </c>
      <c r="H17" s="95">
        <v>194</v>
      </c>
      <c r="I17" s="95">
        <f>INT(745247*1.1)</f>
        <v>819771</v>
      </c>
      <c r="J17" s="95">
        <f>86939*1.1</f>
        <v>95632.900000000009</v>
      </c>
      <c r="K17" s="121"/>
    </row>
    <row r="18" spans="1:13" ht="20.100000000000001" customHeight="1" x14ac:dyDescent="0.15">
      <c r="A18" s="109" t="s">
        <v>22</v>
      </c>
      <c r="B18" s="110">
        <v>46156</v>
      </c>
      <c r="C18" s="136" t="s">
        <v>190</v>
      </c>
      <c r="D18" s="95">
        <v>158</v>
      </c>
      <c r="E18" s="95">
        <f>743449*1.1</f>
        <v>817793.9</v>
      </c>
      <c r="F18" s="95">
        <v>184</v>
      </c>
      <c r="G18" s="95">
        <f>849413*1.1</f>
        <v>934354.3</v>
      </c>
      <c r="H18" s="95">
        <v>342</v>
      </c>
      <c r="I18" s="95">
        <f>INT(800459*1.1)</f>
        <v>880504</v>
      </c>
      <c r="J18" s="95">
        <f>INT(30675*1.1)</f>
        <v>33742</v>
      </c>
      <c r="M18" s="59"/>
    </row>
    <row r="19" spans="1:13" ht="20.100000000000001" customHeight="1" x14ac:dyDescent="0.15">
      <c r="A19" s="109" t="s">
        <v>23</v>
      </c>
      <c r="B19" s="110">
        <v>46157</v>
      </c>
      <c r="C19" s="136" t="s">
        <v>191</v>
      </c>
      <c r="D19" s="95">
        <v>123</v>
      </c>
      <c r="E19" s="95">
        <f>750138*1.1</f>
        <v>825151.8</v>
      </c>
      <c r="F19" s="95">
        <v>150</v>
      </c>
      <c r="G19" s="95">
        <f>847480*1.1</f>
        <v>932228.00000000012</v>
      </c>
      <c r="H19" s="95">
        <v>273</v>
      </c>
      <c r="I19" s="95">
        <f>INT(803623*1.1)</f>
        <v>883985</v>
      </c>
      <c r="J19" s="95">
        <f>22137*1.1</f>
        <v>24350.7</v>
      </c>
    </row>
    <row r="20" spans="1:13" ht="20.100000000000001" customHeight="1" x14ac:dyDescent="0.15">
      <c r="A20" s="109" t="s">
        <v>24</v>
      </c>
      <c r="B20" s="110">
        <v>46158</v>
      </c>
      <c r="C20" s="136" t="s">
        <v>191</v>
      </c>
      <c r="D20" s="95">
        <v>126</v>
      </c>
      <c r="E20" s="95">
        <f>727563*1.1</f>
        <v>800319.3</v>
      </c>
      <c r="F20" s="95">
        <v>160</v>
      </c>
      <c r="G20" s="95">
        <f>828625*1.1</f>
        <v>911487.50000000012</v>
      </c>
      <c r="H20" s="95">
        <v>286</v>
      </c>
      <c r="I20" s="95">
        <f>INT(784101*1.1)</f>
        <v>862511</v>
      </c>
      <c r="J20" s="95">
        <f>2615*1.1</f>
        <v>2876.5000000000005</v>
      </c>
    </row>
    <row r="21" spans="1:13" ht="20.100000000000001" customHeight="1" x14ac:dyDescent="0.15">
      <c r="A21" s="81" t="s">
        <v>25</v>
      </c>
      <c r="B21" s="82">
        <v>46159</v>
      </c>
      <c r="C21" s="173" t="s">
        <v>192</v>
      </c>
      <c r="D21" s="79">
        <v>91</v>
      </c>
      <c r="E21" s="79">
        <f>730813*1.1</f>
        <v>803894.3</v>
      </c>
      <c r="F21" s="79">
        <v>179</v>
      </c>
      <c r="G21" s="79">
        <f>844447*1.1</f>
        <v>928891.70000000007</v>
      </c>
      <c r="H21" s="78">
        <v>270</v>
      </c>
      <c r="I21" s="79">
        <f>INT(806148*1.1)</f>
        <v>886762</v>
      </c>
      <c r="J21" s="79">
        <f>35184*1.1</f>
        <v>38702.400000000001</v>
      </c>
    </row>
    <row r="22" spans="1:13" ht="20.100000000000001" customHeight="1" x14ac:dyDescent="0.15">
      <c r="A22" s="109" t="s">
        <v>26</v>
      </c>
      <c r="B22" s="110">
        <v>46160</v>
      </c>
      <c r="C22" s="146" t="s">
        <v>192</v>
      </c>
      <c r="D22" s="100">
        <v>135</v>
      </c>
      <c r="E22" s="100">
        <f>723867*1.1</f>
        <v>796253.70000000007</v>
      </c>
      <c r="F22" s="100">
        <v>140</v>
      </c>
      <c r="G22" s="100">
        <f>845014*1.1</f>
        <v>929515.4</v>
      </c>
      <c r="H22" s="95">
        <v>275</v>
      </c>
      <c r="I22" s="100">
        <f>785542*1.1</f>
        <v>864096.20000000007</v>
      </c>
      <c r="J22" s="100">
        <f>19661*1.1</f>
        <v>21627.100000000002</v>
      </c>
    </row>
    <row r="23" spans="1:13" ht="20.100000000000001" customHeight="1" x14ac:dyDescent="0.15">
      <c r="A23" s="109" t="s">
        <v>27</v>
      </c>
      <c r="B23" s="110">
        <v>46161</v>
      </c>
      <c r="C23" s="146" t="s">
        <v>195</v>
      </c>
      <c r="D23" s="100">
        <v>172</v>
      </c>
      <c r="E23" s="100">
        <f>714541*1.1</f>
        <v>785995.10000000009</v>
      </c>
      <c r="F23" s="100">
        <v>254</v>
      </c>
      <c r="G23" s="100">
        <f>823728*1.1</f>
        <v>906100.8</v>
      </c>
      <c r="H23" s="95">
        <v>426</v>
      </c>
      <c r="I23" s="100">
        <f>779643*1.1</f>
        <v>857607.3</v>
      </c>
      <c r="J23" s="100">
        <f>-6359*1.1</f>
        <v>-6994.9000000000005</v>
      </c>
      <c r="M23" s="55"/>
    </row>
    <row r="24" spans="1:13" ht="20.100000000000001" customHeight="1" x14ac:dyDescent="0.15">
      <c r="A24" s="109" t="s">
        <v>28</v>
      </c>
      <c r="B24" s="110">
        <v>46162</v>
      </c>
      <c r="C24" s="146" t="s">
        <v>193</v>
      </c>
      <c r="D24" s="100">
        <v>164</v>
      </c>
      <c r="E24" s="100">
        <f>729372*1.1</f>
        <v>802309.20000000007</v>
      </c>
      <c r="F24" s="100">
        <v>213</v>
      </c>
      <c r="G24" s="100">
        <f>854991*1.1</f>
        <v>940490.10000000009</v>
      </c>
      <c r="H24" s="95">
        <v>377</v>
      </c>
      <c r="I24" s="100">
        <f>INT(800345*1.1)</f>
        <v>880379</v>
      </c>
      <c r="J24" s="100">
        <f>15607*1.1</f>
        <v>17167.7</v>
      </c>
    </row>
    <row r="25" spans="1:13" ht="20.100000000000001" customHeight="1" x14ac:dyDescent="0.15">
      <c r="A25" s="109" t="s">
        <v>29</v>
      </c>
      <c r="B25" s="110">
        <v>46163</v>
      </c>
      <c r="C25" s="146" t="s">
        <v>193</v>
      </c>
      <c r="D25" s="100">
        <v>168</v>
      </c>
      <c r="E25" s="100">
        <f>729554*1.1</f>
        <v>802509.4</v>
      </c>
      <c r="F25" s="100">
        <v>191</v>
      </c>
      <c r="G25" s="100">
        <f>845832*1.1</f>
        <v>930415.20000000007</v>
      </c>
      <c r="H25" s="95">
        <v>359</v>
      </c>
      <c r="I25" s="100">
        <f>791418*1.1</f>
        <v>870559.8</v>
      </c>
      <c r="J25" s="100">
        <f>6680*1.1</f>
        <v>7348.0000000000009</v>
      </c>
    </row>
    <row r="26" spans="1:13" ht="20.100000000000001" customHeight="1" x14ac:dyDescent="0.15">
      <c r="A26" s="109" t="s">
        <v>30</v>
      </c>
      <c r="B26" s="110">
        <v>46164</v>
      </c>
      <c r="C26" s="146" t="s">
        <v>194</v>
      </c>
      <c r="D26" s="100">
        <v>175</v>
      </c>
      <c r="E26" s="100">
        <f>721069*1.1</f>
        <v>793175.9</v>
      </c>
      <c r="F26" s="100">
        <v>232</v>
      </c>
      <c r="G26" s="100">
        <f>823948*1.1</f>
        <v>906342.8</v>
      </c>
      <c r="H26" s="95">
        <f>+F26+D26</f>
        <v>407</v>
      </c>
      <c r="I26" s="100">
        <f>779713*1.1</f>
        <v>857684.3</v>
      </c>
      <c r="J26" s="100">
        <f>-5025*1.1</f>
        <v>-5527.5</v>
      </c>
    </row>
    <row r="27" spans="1:13" ht="20.100000000000001" customHeight="1" x14ac:dyDescent="0.15">
      <c r="A27" s="109" t="s">
        <v>31</v>
      </c>
      <c r="B27" s="110">
        <v>46165</v>
      </c>
      <c r="C27" s="136" t="s">
        <v>205</v>
      </c>
      <c r="D27" s="100">
        <v>119</v>
      </c>
      <c r="E27" s="122">
        <f>714555*1.1</f>
        <v>786010.50000000012</v>
      </c>
      <c r="F27" s="100">
        <v>120</v>
      </c>
      <c r="G27" s="122">
        <f>841792*1.1</f>
        <v>925971.20000000007</v>
      </c>
      <c r="H27" s="100">
        <v>239</v>
      </c>
      <c r="I27" s="122">
        <f>INT(778439*1.1)</f>
        <v>856282</v>
      </c>
      <c r="J27" s="100">
        <f>-4742*1.1</f>
        <v>-5216.2000000000007</v>
      </c>
      <c r="M27" s="59"/>
    </row>
    <row r="28" spans="1:13" ht="20.100000000000001" customHeight="1" x14ac:dyDescent="0.15">
      <c r="A28" s="81" t="s">
        <v>32</v>
      </c>
      <c r="B28" s="82">
        <v>46166</v>
      </c>
      <c r="C28" s="176"/>
      <c r="D28" s="78"/>
      <c r="E28" s="78"/>
      <c r="F28" s="78"/>
      <c r="G28" s="78"/>
      <c r="H28" s="78"/>
      <c r="I28" s="78"/>
      <c r="J28" s="78"/>
    </row>
    <row r="29" spans="1:13" ht="20.100000000000001" customHeight="1" x14ac:dyDescent="0.15">
      <c r="A29" s="109" t="s">
        <v>33</v>
      </c>
      <c r="B29" s="110">
        <v>46167</v>
      </c>
      <c r="C29" s="136" t="s">
        <v>196</v>
      </c>
      <c r="D29" s="95">
        <v>159</v>
      </c>
      <c r="E29" s="95">
        <f>731289*1.1</f>
        <v>804417.9</v>
      </c>
      <c r="F29" s="95">
        <v>210</v>
      </c>
      <c r="G29" s="95">
        <f>826076*1.1</f>
        <v>908683.60000000009</v>
      </c>
      <c r="H29" s="95">
        <v>369</v>
      </c>
      <c r="I29" s="95">
        <f>785233*1.1</f>
        <v>863756.3</v>
      </c>
      <c r="J29" s="95">
        <f>-21943*1.1</f>
        <v>-24137.300000000003</v>
      </c>
      <c r="M29" s="59"/>
    </row>
    <row r="30" spans="1:13" ht="20.100000000000001" customHeight="1" x14ac:dyDescent="0.15">
      <c r="A30" s="109" t="s">
        <v>34</v>
      </c>
      <c r="B30" s="110">
        <v>46168</v>
      </c>
      <c r="C30" s="136" t="s">
        <v>196</v>
      </c>
      <c r="D30" s="95">
        <v>157</v>
      </c>
      <c r="E30" s="95">
        <f>725783*1.1</f>
        <v>798361.3</v>
      </c>
      <c r="F30" s="95">
        <v>252</v>
      </c>
      <c r="G30" s="95">
        <f>814163*1.1</f>
        <v>895579.3</v>
      </c>
      <c r="H30" s="95">
        <v>409</v>
      </c>
      <c r="I30" s="95">
        <f>780237*1.1</f>
        <v>858260.70000000007</v>
      </c>
      <c r="J30" s="95">
        <f>-25228*1.1</f>
        <v>-27750.800000000003</v>
      </c>
      <c r="M30" s="59"/>
    </row>
    <row r="31" spans="1:13" ht="20.100000000000001" customHeight="1" x14ac:dyDescent="0.15">
      <c r="A31" s="109" t="s">
        <v>35</v>
      </c>
      <c r="B31" s="110">
        <v>46169</v>
      </c>
      <c r="C31" s="146" t="s">
        <v>196</v>
      </c>
      <c r="D31" s="95">
        <v>158</v>
      </c>
      <c r="E31" s="95">
        <f>731835*1.1</f>
        <v>805018.50000000012</v>
      </c>
      <c r="F31" s="95">
        <v>186</v>
      </c>
      <c r="G31" s="95">
        <f>813758*1.1</f>
        <v>895133.8</v>
      </c>
      <c r="H31" s="95">
        <v>344</v>
      </c>
      <c r="I31" s="95">
        <f>776131*1.1</f>
        <v>853744.10000000009</v>
      </c>
      <c r="J31" s="95">
        <f>-25187*1.1</f>
        <v>-27705.7</v>
      </c>
      <c r="M31" s="59"/>
    </row>
    <row r="32" spans="1:13" ht="20.100000000000001" customHeight="1" x14ac:dyDescent="0.15">
      <c r="A32" s="109" t="s">
        <v>36</v>
      </c>
      <c r="B32" s="110">
        <v>46170</v>
      </c>
      <c r="C32" s="146"/>
      <c r="D32" s="95"/>
      <c r="E32" s="95"/>
      <c r="F32" s="95"/>
      <c r="G32" s="95"/>
      <c r="H32" s="95"/>
      <c r="I32" s="95"/>
      <c r="J32" s="95"/>
    </row>
    <row r="33" spans="1:18" ht="20.100000000000001" customHeight="1" x14ac:dyDescent="0.15">
      <c r="A33" s="109" t="s">
        <v>37</v>
      </c>
      <c r="B33" s="110">
        <v>46171</v>
      </c>
      <c r="C33" s="146"/>
      <c r="D33" s="95"/>
      <c r="E33" s="95"/>
      <c r="F33" s="95"/>
      <c r="G33" s="95"/>
      <c r="H33" s="95"/>
      <c r="I33" s="95"/>
      <c r="J33" s="95"/>
    </row>
    <row r="34" spans="1:18" ht="20.100000000000001" customHeight="1" x14ac:dyDescent="0.15">
      <c r="A34" s="109" t="s">
        <v>38</v>
      </c>
      <c r="B34" s="110">
        <v>46172</v>
      </c>
      <c r="C34" s="177"/>
      <c r="D34" s="95"/>
      <c r="E34" s="95"/>
      <c r="F34" s="95"/>
      <c r="G34" s="95"/>
      <c r="H34" s="95"/>
      <c r="I34" s="95"/>
      <c r="J34" s="95"/>
    </row>
    <row r="35" spans="1:18" ht="20.100000000000001" customHeight="1" x14ac:dyDescent="0.15">
      <c r="A35" s="81" t="s">
        <v>39</v>
      </c>
      <c r="B35" s="82">
        <v>46173</v>
      </c>
      <c r="C35" s="145"/>
      <c r="D35" s="78"/>
      <c r="E35" s="78"/>
      <c r="F35" s="78"/>
      <c r="G35" s="78"/>
      <c r="H35" s="78" t="str">
        <f t="shared" ref="H35" si="0">IF(D35=0,"",+D35+F35)</f>
        <v/>
      </c>
      <c r="I35" s="78"/>
      <c r="J35" s="78"/>
      <c r="L35" s="123"/>
      <c r="M35" s="124"/>
      <c r="N35" s="124"/>
      <c r="O35" s="124"/>
      <c r="P35" s="124"/>
      <c r="Q35" s="124"/>
      <c r="R35" s="124"/>
    </row>
    <row r="36" spans="1:18" ht="20.100000000000001" customHeight="1" x14ac:dyDescent="0.15">
      <c r="A36" s="219" t="s">
        <v>63</v>
      </c>
      <c r="B36" s="220"/>
      <c r="C36" s="70"/>
      <c r="D36" s="95">
        <f>SUM(D5:D35)</f>
        <v>2675</v>
      </c>
      <c r="E36" s="95">
        <f>AVERAGE(E5:E35)</f>
        <v>793838.65000000014</v>
      </c>
      <c r="F36" s="95">
        <f>SUM(F5:F35)</f>
        <v>3495</v>
      </c>
      <c r="G36" s="95">
        <f>AVERAGE(G5:G35)</f>
        <v>905408.625</v>
      </c>
      <c r="H36" s="95">
        <f>D36+F36</f>
        <v>6170</v>
      </c>
      <c r="I36" s="15">
        <f>SUMPRODUCT(H5:H35,I5:I35)/H36</f>
        <v>858761.86928687198</v>
      </c>
      <c r="J36" s="95"/>
    </row>
    <row r="37" spans="1:18" x14ac:dyDescent="0.15">
      <c r="B37" s="9"/>
      <c r="C37" s="11" t="s">
        <v>161</v>
      </c>
      <c r="D37" s="10"/>
      <c r="E37" s="10"/>
      <c r="F37" s="10"/>
      <c r="G37" s="10"/>
      <c r="H37" s="111" t="s">
        <v>138</v>
      </c>
      <c r="I37" s="10">
        <f>I36/1.1</f>
        <v>780692.60844261083</v>
      </c>
      <c r="J37" s="10"/>
    </row>
    <row r="38" spans="1:18" ht="14.25" thickBot="1" x14ac:dyDescent="0.2">
      <c r="B38" s="9"/>
      <c r="C38" s="151" t="s">
        <v>186</v>
      </c>
      <c r="D38" s="10"/>
      <c r="E38" s="10"/>
      <c r="F38" s="10"/>
      <c r="G38" s="10"/>
      <c r="H38" s="10"/>
      <c r="I38" s="10"/>
      <c r="J38" s="10"/>
    </row>
    <row r="39" spans="1:18" ht="13.15" customHeight="1" thickTop="1" thickBot="1" x14ac:dyDescent="0.2">
      <c r="A39" s="56"/>
      <c r="B39" s="11"/>
      <c r="C39" s="11"/>
      <c r="D39" s="56"/>
      <c r="E39" s="36"/>
      <c r="F39" s="36"/>
      <c r="G39" s="36"/>
      <c r="H39" s="228" t="s">
        <v>100</v>
      </c>
      <c r="I39" s="229"/>
      <c r="J39" s="36"/>
    </row>
    <row r="40" spans="1:18" ht="14.25" thickTop="1" x14ac:dyDescent="0.15">
      <c r="A40" s="56"/>
      <c r="B40" s="11"/>
      <c r="C40" s="11"/>
      <c r="D40" s="46"/>
      <c r="E40" s="233"/>
      <c r="F40" s="233"/>
      <c r="G40" s="56"/>
      <c r="H40" s="57" t="s">
        <v>99</v>
      </c>
      <c r="I40" s="76" t="s">
        <v>148</v>
      </c>
      <c r="J40" s="56"/>
    </row>
    <row r="41" spans="1:18" x14ac:dyDescent="0.15">
      <c r="A41" s="56"/>
      <c r="B41" s="11"/>
      <c r="C41" s="11"/>
      <c r="D41" s="46"/>
      <c r="E41" s="234"/>
      <c r="F41" s="234"/>
      <c r="G41" s="37"/>
      <c r="H41" s="31" t="s">
        <v>98</v>
      </c>
      <c r="I41" s="35">
        <f>I36</f>
        <v>858761.86928687198</v>
      </c>
      <c r="J41" s="36"/>
    </row>
    <row r="42" spans="1:18" x14ac:dyDescent="0.15">
      <c r="A42" s="56"/>
      <c r="B42" s="11"/>
      <c r="C42" s="11"/>
      <c r="D42" s="46"/>
      <c r="E42" s="234"/>
      <c r="F42" s="234"/>
      <c r="G42" s="38"/>
      <c r="H42" s="30" t="s">
        <v>44</v>
      </c>
      <c r="I42" s="33">
        <f>'4月'!I35</f>
        <v>857298.43337191362</v>
      </c>
      <c r="J42" s="36"/>
    </row>
    <row r="43" spans="1:18" ht="14.25" thickBot="1" x14ac:dyDescent="0.2">
      <c r="A43" s="56"/>
      <c r="B43" s="11"/>
      <c r="C43" s="11"/>
      <c r="D43" s="46"/>
      <c r="E43" s="234"/>
      <c r="F43" s="234"/>
      <c r="G43" s="36"/>
      <c r="H43" s="29" t="s">
        <v>45</v>
      </c>
      <c r="I43" s="34">
        <f>I41-I42</f>
        <v>1463.4359149583615</v>
      </c>
      <c r="J43" s="36"/>
    </row>
    <row r="44" spans="1:18" ht="15" thickTop="1" thickBot="1" x14ac:dyDescent="0.2">
      <c r="A44" s="56"/>
      <c r="B44" s="11"/>
      <c r="C44" s="11"/>
      <c r="D44" s="12"/>
      <c r="E44" s="12"/>
      <c r="F44" s="56"/>
      <c r="G44" s="56"/>
      <c r="H44" s="56"/>
      <c r="I44" s="56"/>
      <c r="J44" s="12"/>
    </row>
    <row r="45" spans="1:18" ht="15" thickTop="1" thickBot="1" x14ac:dyDescent="0.2">
      <c r="A45" s="56"/>
      <c r="B45" s="56"/>
      <c r="C45" s="11"/>
      <c r="D45" s="56"/>
      <c r="E45" s="56"/>
      <c r="F45" s="56"/>
      <c r="G45" s="56"/>
      <c r="H45" s="228" t="s">
        <v>101</v>
      </c>
      <c r="I45" s="229"/>
      <c r="J45" s="56"/>
    </row>
    <row r="46" spans="1:18" ht="14.25" thickTop="1" x14ac:dyDescent="0.15">
      <c r="A46" s="56"/>
      <c r="B46" s="56"/>
      <c r="C46" s="11"/>
      <c r="D46" s="56"/>
      <c r="E46" s="56"/>
      <c r="F46" s="56"/>
      <c r="G46" s="56"/>
      <c r="H46" s="57" t="s">
        <v>99</v>
      </c>
      <c r="I46" s="76" t="s">
        <v>148</v>
      </c>
      <c r="J46" s="56"/>
    </row>
    <row r="47" spans="1:18" x14ac:dyDescent="0.15">
      <c r="A47" s="56"/>
      <c r="B47" s="56"/>
      <c r="C47" s="11"/>
      <c r="D47" s="56"/>
      <c r="E47" s="56"/>
      <c r="F47" s="56"/>
      <c r="G47" s="56"/>
      <c r="H47" s="31" t="s">
        <v>98</v>
      </c>
      <c r="I47" s="35">
        <f>I41</f>
        <v>858761.86928687198</v>
      </c>
      <c r="J47" s="56"/>
    </row>
    <row r="48" spans="1:18" x14ac:dyDescent="0.15">
      <c r="A48" s="56"/>
      <c r="B48" s="56"/>
      <c r="C48" s="11"/>
      <c r="D48" s="56"/>
      <c r="E48" s="56"/>
      <c r="F48" s="56"/>
      <c r="G48" s="56"/>
      <c r="H48" s="30" t="s">
        <v>77</v>
      </c>
      <c r="I48" s="33">
        <f>SUM(価格推移グラフ!ET5)</f>
        <v>634304.84435324511</v>
      </c>
      <c r="J48" s="56"/>
    </row>
    <row r="49" spans="1:10" ht="14.25" thickBot="1" x14ac:dyDescent="0.2">
      <c r="A49" s="56"/>
      <c r="B49" s="56"/>
      <c r="C49" s="11"/>
      <c r="D49" s="56"/>
      <c r="E49" s="56"/>
      <c r="F49" s="56"/>
      <c r="G49" s="56"/>
      <c r="H49" s="29" t="s">
        <v>78</v>
      </c>
      <c r="I49" s="34">
        <f>I47-I48</f>
        <v>224457.02493362688</v>
      </c>
      <c r="J49" s="56"/>
    </row>
    <row r="50" spans="1:10" ht="14.25" thickTop="1" x14ac:dyDescent="0.15"/>
  </sheetData>
  <mergeCells count="14">
    <mergeCell ref="J3:J4"/>
    <mergeCell ref="A36:B36"/>
    <mergeCell ref="A3:A4"/>
    <mergeCell ref="B3:B4"/>
    <mergeCell ref="C3:C4"/>
    <mergeCell ref="D3:E3"/>
    <mergeCell ref="F3:G3"/>
    <mergeCell ref="H3:I3"/>
    <mergeCell ref="H45:I45"/>
    <mergeCell ref="H39:I39"/>
    <mergeCell ref="E40:F40"/>
    <mergeCell ref="E41:F41"/>
    <mergeCell ref="E42:F42"/>
    <mergeCell ref="E43:F43"/>
  </mergeCells>
  <phoneticPr fontId="1"/>
  <pageMargins left="0.7" right="0.7" top="0.33"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DD50"/>
  <sheetViews>
    <sheetView zoomScaleNormal="100" workbookViewId="0">
      <selection activeCell="I16" sqref="I16"/>
    </sheetView>
  </sheetViews>
  <sheetFormatPr defaultColWidth="8.875" defaultRowHeight="13.5" x14ac:dyDescent="0.15"/>
  <cols>
    <col min="1" max="1" width="7" style="182" customWidth="1"/>
    <col min="2" max="2" width="8.125" style="182" customWidth="1"/>
    <col min="3" max="3" width="10.625" style="182" customWidth="1"/>
    <col min="4" max="4" width="9" style="182"/>
    <col min="5" max="5" width="9" style="182" customWidth="1"/>
    <col min="6" max="6" width="9" style="182"/>
    <col min="7" max="7" width="9.625" style="182" customWidth="1"/>
    <col min="8" max="8" width="9" style="182" customWidth="1"/>
    <col min="9" max="9" width="10.125" style="182" customWidth="1"/>
    <col min="10" max="10" width="10.875" style="182" customWidth="1"/>
    <col min="11" max="11" width="50.875" style="182" hidden="1" customWidth="1"/>
    <col min="12" max="16" width="8.875" style="182"/>
    <col min="17" max="17" width="9" style="182" bestFit="1" customWidth="1"/>
    <col min="18" max="18" width="8.875" style="182" customWidth="1"/>
    <col min="19" max="16384" width="8.875" style="182"/>
  </cols>
  <sheetData>
    <row r="1" spans="1:108" ht="19.5" customHeight="1" x14ac:dyDescent="0.15">
      <c r="A1" s="58" t="s">
        <v>154</v>
      </c>
      <c r="B1" s="178"/>
      <c r="C1" s="179" t="s">
        <v>61</v>
      </c>
      <c r="D1" s="180"/>
      <c r="E1" s="181" t="s">
        <v>41</v>
      </c>
      <c r="F1" s="180"/>
      <c r="G1" s="180"/>
      <c r="H1" s="180"/>
      <c r="I1" s="180" t="s">
        <v>42</v>
      </c>
      <c r="J1" s="180"/>
    </row>
    <row r="2" spans="1:108" ht="19.5" customHeight="1" x14ac:dyDescent="0.15">
      <c r="B2" s="178"/>
      <c r="C2" s="178"/>
      <c r="D2" s="180"/>
      <c r="E2" s="180"/>
      <c r="F2" s="180"/>
      <c r="G2" s="180"/>
      <c r="H2" s="180"/>
      <c r="I2" s="183" t="s">
        <v>43</v>
      </c>
      <c r="J2" s="180"/>
    </row>
    <row r="3" spans="1:108" s="16" customFormat="1" ht="19.5" customHeight="1" x14ac:dyDescent="0.15">
      <c r="A3" s="222" t="s">
        <v>0</v>
      </c>
      <c r="B3" s="222" t="s">
        <v>1</v>
      </c>
      <c r="C3" s="222" t="s">
        <v>2</v>
      </c>
      <c r="D3" s="221" t="s">
        <v>5</v>
      </c>
      <c r="E3" s="221"/>
      <c r="F3" s="221" t="s">
        <v>6</v>
      </c>
      <c r="G3" s="221"/>
      <c r="H3" s="221" t="s">
        <v>7</v>
      </c>
      <c r="I3" s="221"/>
      <c r="J3" s="221" t="s">
        <v>8</v>
      </c>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82"/>
      <c r="AO3" s="182"/>
      <c r="AP3" s="182"/>
      <c r="AQ3" s="182"/>
      <c r="AR3" s="182"/>
      <c r="AS3" s="182"/>
      <c r="AT3" s="182"/>
      <c r="AU3" s="182"/>
      <c r="AV3" s="182"/>
      <c r="AW3" s="182"/>
      <c r="AX3" s="182"/>
      <c r="AY3" s="182"/>
      <c r="AZ3" s="182"/>
      <c r="BA3" s="182"/>
      <c r="BB3" s="182"/>
      <c r="BC3" s="182"/>
      <c r="BD3" s="182"/>
      <c r="BE3" s="182"/>
      <c r="BF3" s="182"/>
      <c r="BG3" s="182"/>
      <c r="BH3" s="182"/>
      <c r="BI3" s="182"/>
      <c r="BJ3" s="182"/>
      <c r="BK3" s="182"/>
      <c r="BL3" s="182"/>
      <c r="BM3" s="182"/>
      <c r="BN3" s="182"/>
      <c r="BO3" s="182"/>
      <c r="BP3" s="182"/>
      <c r="BQ3" s="182"/>
      <c r="BR3" s="182"/>
      <c r="BS3" s="182"/>
      <c r="BT3" s="182"/>
      <c r="BU3" s="182"/>
      <c r="BV3" s="182"/>
      <c r="BW3" s="182"/>
      <c r="BX3" s="182"/>
      <c r="BY3" s="182"/>
      <c r="BZ3" s="182"/>
      <c r="CA3" s="182"/>
      <c r="CB3" s="182"/>
      <c r="CC3" s="182"/>
      <c r="CD3" s="182"/>
      <c r="CE3" s="182"/>
      <c r="CF3" s="182"/>
      <c r="CG3" s="182"/>
      <c r="CH3" s="182"/>
      <c r="CI3" s="182"/>
      <c r="CJ3" s="182"/>
      <c r="CK3" s="182"/>
      <c r="CL3" s="182"/>
      <c r="CM3" s="182"/>
      <c r="CN3" s="182"/>
      <c r="CO3" s="182"/>
      <c r="CP3" s="182"/>
      <c r="CQ3" s="182"/>
      <c r="CR3" s="182"/>
      <c r="CS3" s="182"/>
      <c r="CT3" s="182"/>
      <c r="CU3" s="182"/>
      <c r="CV3" s="182"/>
      <c r="CW3" s="182"/>
      <c r="CX3" s="182"/>
      <c r="CY3" s="182"/>
      <c r="CZ3" s="182"/>
      <c r="DA3" s="182"/>
      <c r="DB3" s="182"/>
      <c r="DC3" s="182"/>
      <c r="DD3" s="182"/>
    </row>
    <row r="4" spans="1:108" s="16" customFormat="1" ht="19.5" customHeight="1" x14ac:dyDescent="0.15">
      <c r="A4" s="222"/>
      <c r="B4" s="222"/>
      <c r="C4" s="222"/>
      <c r="D4" s="99" t="s">
        <v>3</v>
      </c>
      <c r="E4" s="99" t="s">
        <v>4</v>
      </c>
      <c r="F4" s="99" t="s">
        <v>3</v>
      </c>
      <c r="G4" s="99" t="s">
        <v>4</v>
      </c>
      <c r="H4" s="99" t="s">
        <v>3</v>
      </c>
      <c r="I4" s="99" t="s">
        <v>4</v>
      </c>
      <c r="J4" s="221"/>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2"/>
      <c r="BA4" s="182"/>
      <c r="BB4" s="182"/>
      <c r="BC4" s="182"/>
      <c r="BD4" s="182"/>
      <c r="BE4" s="182"/>
      <c r="BF4" s="182"/>
      <c r="BG4" s="182"/>
      <c r="BH4" s="182"/>
      <c r="BI4" s="182"/>
      <c r="BJ4" s="182"/>
      <c r="BK4" s="182"/>
      <c r="BL4" s="182"/>
      <c r="BM4" s="182"/>
      <c r="BN4" s="182"/>
      <c r="BO4" s="182"/>
      <c r="BP4" s="182"/>
      <c r="BQ4" s="182"/>
      <c r="BR4" s="182"/>
      <c r="BS4" s="182"/>
      <c r="BT4" s="182"/>
      <c r="BU4" s="182"/>
      <c r="BV4" s="182"/>
      <c r="BW4" s="182"/>
      <c r="BX4" s="182"/>
      <c r="BY4" s="182"/>
      <c r="BZ4" s="182"/>
      <c r="CA4" s="182"/>
      <c r="CB4" s="182"/>
      <c r="CC4" s="182"/>
      <c r="CD4" s="182"/>
      <c r="CE4" s="182"/>
      <c r="CF4" s="182"/>
      <c r="CG4" s="182"/>
      <c r="CH4" s="182"/>
      <c r="CI4" s="182"/>
      <c r="CJ4" s="182"/>
      <c r="CK4" s="182"/>
      <c r="CL4" s="182"/>
      <c r="CM4" s="182"/>
      <c r="CN4" s="182"/>
      <c r="CO4" s="182"/>
      <c r="CP4" s="182"/>
      <c r="CQ4" s="182"/>
      <c r="CR4" s="182"/>
      <c r="CS4" s="182"/>
      <c r="CT4" s="182"/>
      <c r="CU4" s="182"/>
      <c r="CV4" s="182"/>
      <c r="CW4" s="182"/>
      <c r="CX4" s="182"/>
      <c r="CY4" s="182"/>
      <c r="CZ4" s="182"/>
      <c r="DA4" s="182"/>
      <c r="DB4" s="182"/>
      <c r="DC4" s="182"/>
      <c r="DD4" s="182"/>
    </row>
    <row r="5" spans="1:108" s="16" customFormat="1" ht="19.5" customHeight="1" x14ac:dyDescent="0.15">
      <c r="A5" s="70" t="s">
        <v>9</v>
      </c>
      <c r="B5" s="110">
        <v>46174</v>
      </c>
      <c r="C5" s="146"/>
      <c r="D5" s="95"/>
      <c r="E5" s="95"/>
      <c r="F5" s="95"/>
      <c r="G5" s="95"/>
      <c r="H5" s="95"/>
      <c r="I5" s="95"/>
      <c r="J5" s="95"/>
      <c r="L5" s="182" t="s">
        <v>232</v>
      </c>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82"/>
      <c r="AO5" s="182"/>
      <c r="AP5" s="182"/>
      <c r="AQ5" s="182"/>
      <c r="AR5" s="182"/>
      <c r="AS5" s="182"/>
      <c r="AT5" s="182"/>
      <c r="AU5" s="182"/>
      <c r="AV5" s="182"/>
      <c r="AW5" s="182"/>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2"/>
      <c r="BW5" s="182"/>
      <c r="BX5" s="182"/>
      <c r="BY5" s="182"/>
      <c r="BZ5" s="182"/>
      <c r="CA5" s="182"/>
      <c r="CB5" s="182"/>
      <c r="CC5" s="182"/>
      <c r="CD5" s="182"/>
      <c r="CE5" s="182"/>
      <c r="CF5" s="182"/>
      <c r="CG5" s="182"/>
      <c r="CH5" s="182"/>
      <c r="CI5" s="182"/>
      <c r="CJ5" s="182"/>
      <c r="CK5" s="182"/>
      <c r="CL5" s="182"/>
      <c r="CM5" s="182"/>
      <c r="CN5" s="182"/>
      <c r="CO5" s="182"/>
      <c r="CP5" s="182"/>
      <c r="CQ5" s="182"/>
      <c r="CR5" s="182"/>
      <c r="CS5" s="182"/>
      <c r="CT5" s="182"/>
      <c r="CU5" s="182"/>
      <c r="CV5" s="182"/>
      <c r="CW5" s="182"/>
      <c r="CX5" s="182"/>
      <c r="CY5" s="182"/>
      <c r="CZ5" s="182"/>
      <c r="DA5" s="182"/>
      <c r="DB5" s="182"/>
      <c r="DC5" s="182"/>
      <c r="DD5" s="182"/>
    </row>
    <row r="6" spans="1:108" s="16" customFormat="1" ht="19.5" customHeight="1" x14ac:dyDescent="0.15">
      <c r="A6" s="70" t="s">
        <v>10</v>
      </c>
      <c r="B6" s="110">
        <v>46175</v>
      </c>
      <c r="C6" s="146"/>
      <c r="D6" s="95"/>
      <c r="E6" s="95"/>
      <c r="F6" s="95"/>
      <c r="G6" s="95"/>
      <c r="H6" s="95"/>
      <c r="I6" s="95"/>
      <c r="J6" s="95"/>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82"/>
      <c r="AN6" s="182"/>
      <c r="AO6" s="182"/>
      <c r="AP6" s="182"/>
      <c r="AQ6" s="182"/>
      <c r="AR6" s="182"/>
      <c r="AS6" s="182"/>
      <c r="AT6" s="182"/>
      <c r="AU6" s="182"/>
      <c r="AV6" s="182"/>
      <c r="AW6" s="182"/>
      <c r="AX6" s="182"/>
      <c r="AY6" s="182"/>
      <c r="AZ6" s="182"/>
      <c r="BA6" s="182"/>
      <c r="BB6" s="182"/>
      <c r="BC6" s="182"/>
      <c r="BD6" s="182"/>
      <c r="BE6" s="182"/>
      <c r="BF6" s="182"/>
      <c r="BG6" s="182"/>
      <c r="BH6" s="182"/>
      <c r="BI6" s="182"/>
      <c r="BJ6" s="182"/>
      <c r="BK6" s="182"/>
      <c r="BL6" s="182"/>
      <c r="BM6" s="182"/>
      <c r="BN6" s="182"/>
      <c r="BO6" s="182"/>
      <c r="BP6" s="182"/>
      <c r="BQ6" s="182"/>
      <c r="BR6" s="182"/>
      <c r="BS6" s="182"/>
      <c r="BT6" s="182"/>
      <c r="BU6" s="182"/>
      <c r="BV6" s="182"/>
      <c r="BW6" s="182"/>
      <c r="BX6" s="182"/>
      <c r="BY6" s="182"/>
      <c r="BZ6" s="182"/>
      <c r="CA6" s="182"/>
      <c r="CB6" s="182"/>
      <c r="CC6" s="182"/>
      <c r="CD6" s="182"/>
      <c r="CE6" s="182"/>
      <c r="CF6" s="182"/>
      <c r="CG6" s="182"/>
      <c r="CH6" s="182"/>
      <c r="CI6" s="182"/>
      <c r="CJ6" s="182"/>
      <c r="CK6" s="182"/>
      <c r="CL6" s="182"/>
      <c r="CM6" s="182"/>
      <c r="CN6" s="182"/>
      <c r="CO6" s="182"/>
      <c r="CP6" s="182"/>
      <c r="CQ6" s="182"/>
      <c r="CR6" s="182"/>
      <c r="CS6" s="182"/>
      <c r="CT6" s="182"/>
      <c r="CU6" s="182"/>
      <c r="CV6" s="182"/>
      <c r="CW6" s="182"/>
      <c r="CX6" s="182"/>
      <c r="CY6" s="182"/>
      <c r="CZ6" s="182"/>
      <c r="DA6" s="182"/>
      <c r="DB6" s="182"/>
      <c r="DC6" s="182"/>
      <c r="DD6" s="182"/>
    </row>
    <row r="7" spans="1:108" s="16" customFormat="1" ht="19.5" customHeight="1" x14ac:dyDescent="0.15">
      <c r="A7" s="70" t="s">
        <v>11</v>
      </c>
      <c r="B7" s="110">
        <v>46176</v>
      </c>
      <c r="C7" s="146" t="s">
        <v>187</v>
      </c>
      <c r="D7" s="95">
        <v>134</v>
      </c>
      <c r="E7" s="95">
        <f>650119*1.1</f>
        <v>715130.9</v>
      </c>
      <c r="F7" s="95">
        <v>178</v>
      </c>
      <c r="G7" s="95">
        <f>819169*1.1</f>
        <v>901085.9</v>
      </c>
      <c r="H7" s="95">
        <v>312</v>
      </c>
      <c r="I7" s="95">
        <f>746564*1.1</f>
        <v>821220.4</v>
      </c>
      <c r="J7" s="95">
        <f>-15776*1.1</f>
        <v>-17353.600000000002</v>
      </c>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c r="AM7" s="182"/>
      <c r="AN7" s="182"/>
      <c r="AO7" s="182"/>
      <c r="AP7" s="182"/>
      <c r="AQ7" s="182"/>
      <c r="AR7" s="182"/>
      <c r="AS7" s="182"/>
      <c r="AT7" s="182"/>
      <c r="AU7" s="182"/>
      <c r="AV7" s="182"/>
      <c r="AW7" s="182"/>
      <c r="AX7" s="182"/>
      <c r="AY7" s="182"/>
      <c r="AZ7" s="182"/>
      <c r="BA7" s="182"/>
      <c r="BB7" s="182"/>
      <c r="BC7" s="182"/>
      <c r="BD7" s="182"/>
      <c r="BE7" s="182"/>
      <c r="BF7" s="182"/>
      <c r="BG7" s="182"/>
      <c r="BH7" s="182"/>
      <c r="BI7" s="182"/>
      <c r="BJ7" s="182"/>
      <c r="BK7" s="182"/>
      <c r="BL7" s="182"/>
      <c r="BM7" s="182"/>
      <c r="BN7" s="182"/>
      <c r="BO7" s="182"/>
      <c r="BP7" s="182"/>
      <c r="BQ7" s="182"/>
      <c r="BR7" s="182"/>
      <c r="BS7" s="182"/>
      <c r="BT7" s="182"/>
      <c r="BU7" s="182"/>
      <c r="BV7" s="182"/>
      <c r="BW7" s="182"/>
      <c r="BX7" s="182"/>
      <c r="BY7" s="182"/>
      <c r="BZ7" s="182"/>
      <c r="CA7" s="182"/>
      <c r="CB7" s="182"/>
      <c r="CC7" s="182"/>
      <c r="CD7" s="182"/>
      <c r="CE7" s="182"/>
      <c r="CF7" s="182"/>
      <c r="CG7" s="182"/>
      <c r="CH7" s="182"/>
      <c r="CI7" s="182"/>
      <c r="CJ7" s="182"/>
      <c r="CK7" s="182"/>
      <c r="CL7" s="182"/>
      <c r="CM7" s="182"/>
      <c r="CN7" s="182"/>
      <c r="CO7" s="182"/>
      <c r="CP7" s="182"/>
      <c r="CQ7" s="182"/>
      <c r="CR7" s="182"/>
      <c r="CS7" s="182"/>
      <c r="CT7" s="182"/>
      <c r="CU7" s="182"/>
      <c r="CV7" s="182"/>
      <c r="CW7" s="182"/>
      <c r="CX7" s="182"/>
      <c r="CY7" s="182"/>
      <c r="CZ7" s="182"/>
      <c r="DA7" s="182"/>
      <c r="DB7" s="182"/>
      <c r="DC7" s="182"/>
      <c r="DD7" s="182"/>
    </row>
    <row r="8" spans="1:108" s="16" customFormat="1" ht="19.5" customHeight="1" x14ac:dyDescent="0.15">
      <c r="A8" s="70" t="s">
        <v>12</v>
      </c>
      <c r="B8" s="110">
        <v>46177</v>
      </c>
      <c r="C8" s="146"/>
      <c r="D8" s="95"/>
      <c r="E8" s="95"/>
      <c r="F8" s="95"/>
      <c r="G8" s="95"/>
      <c r="H8" s="95"/>
      <c r="I8" s="95"/>
      <c r="J8" s="95"/>
      <c r="L8" s="182"/>
      <c r="M8" s="182"/>
      <c r="N8" s="182"/>
      <c r="O8" s="182"/>
      <c r="P8" s="182"/>
      <c r="Q8" s="182"/>
      <c r="R8" s="182"/>
      <c r="S8" s="182"/>
      <c r="T8" s="182"/>
      <c r="U8" s="182"/>
      <c r="V8" s="182"/>
      <c r="W8" s="182"/>
      <c r="X8" s="182"/>
      <c r="Y8" s="182"/>
      <c r="Z8" s="182"/>
      <c r="AA8" s="182"/>
      <c r="AB8" s="182"/>
      <c r="AC8" s="182"/>
      <c r="AD8" s="182"/>
      <c r="AE8" s="182"/>
      <c r="AF8" s="182"/>
      <c r="AG8" s="182"/>
      <c r="AH8" s="182"/>
      <c r="AI8" s="182"/>
      <c r="AJ8" s="182"/>
      <c r="AK8" s="182"/>
      <c r="AL8" s="182"/>
      <c r="AM8" s="182"/>
      <c r="AN8" s="182"/>
      <c r="AO8" s="182"/>
      <c r="AP8" s="182"/>
      <c r="AQ8" s="182"/>
      <c r="AR8" s="182"/>
      <c r="AS8" s="182"/>
      <c r="AT8" s="182"/>
      <c r="AU8" s="182"/>
      <c r="AV8" s="182"/>
      <c r="AW8" s="182"/>
      <c r="AX8" s="182"/>
      <c r="AY8" s="182"/>
      <c r="AZ8" s="182"/>
      <c r="BA8" s="182"/>
      <c r="BB8" s="182"/>
      <c r="BC8" s="182"/>
      <c r="BD8" s="182"/>
      <c r="BE8" s="182"/>
      <c r="BF8" s="182"/>
      <c r="BG8" s="182"/>
      <c r="BH8" s="182"/>
      <c r="BI8" s="182"/>
      <c r="BJ8" s="182"/>
      <c r="BK8" s="182"/>
      <c r="BL8" s="182"/>
      <c r="BM8" s="182"/>
      <c r="BN8" s="182"/>
      <c r="BO8" s="182"/>
      <c r="BP8" s="182"/>
      <c r="BQ8" s="182"/>
      <c r="BR8" s="182"/>
      <c r="BS8" s="182"/>
      <c r="BT8" s="182"/>
      <c r="BU8" s="182"/>
      <c r="BV8" s="182"/>
      <c r="BW8" s="182"/>
      <c r="BX8" s="182"/>
      <c r="BY8" s="182"/>
      <c r="BZ8" s="182"/>
      <c r="CA8" s="182"/>
      <c r="CB8" s="182"/>
      <c r="CC8" s="182"/>
      <c r="CD8" s="182"/>
      <c r="CE8" s="182"/>
      <c r="CF8" s="182"/>
      <c r="CG8" s="182"/>
      <c r="CH8" s="182"/>
      <c r="CI8" s="182"/>
      <c r="CJ8" s="182"/>
      <c r="CK8" s="182"/>
      <c r="CL8" s="182"/>
      <c r="CM8" s="182"/>
      <c r="CN8" s="182"/>
      <c r="CO8" s="182"/>
      <c r="CP8" s="182"/>
      <c r="CQ8" s="182"/>
      <c r="CR8" s="182"/>
      <c r="CS8" s="182"/>
      <c r="CT8" s="182"/>
      <c r="CU8" s="182"/>
      <c r="CV8" s="182"/>
      <c r="CW8" s="182"/>
      <c r="CX8" s="182"/>
      <c r="CY8" s="182"/>
      <c r="CZ8" s="182"/>
      <c r="DA8" s="182"/>
      <c r="DB8" s="182"/>
      <c r="DC8" s="182"/>
      <c r="DD8" s="182"/>
    </row>
    <row r="9" spans="1:108" s="16" customFormat="1" ht="19.5" customHeight="1" x14ac:dyDescent="0.15">
      <c r="A9" s="70" t="s">
        <v>13</v>
      </c>
      <c r="B9" s="110">
        <v>46178</v>
      </c>
      <c r="C9" s="146"/>
      <c r="D9" s="95"/>
      <c r="E9" s="95"/>
      <c r="F9" s="95"/>
      <c r="G9" s="95"/>
      <c r="H9" s="95"/>
      <c r="I9" s="95"/>
      <c r="J9" s="95"/>
      <c r="L9" s="182"/>
      <c r="M9" s="182"/>
      <c r="N9" s="182"/>
      <c r="O9" s="182"/>
      <c r="P9" s="182"/>
      <c r="Q9" s="182"/>
      <c r="R9" s="182"/>
      <c r="S9" s="182"/>
      <c r="T9" s="182"/>
      <c r="U9" s="182"/>
      <c r="V9" s="182"/>
      <c r="W9" s="182"/>
      <c r="X9" s="182"/>
      <c r="Y9" s="182"/>
      <c r="Z9" s="182"/>
      <c r="AA9" s="182"/>
      <c r="AB9" s="182"/>
      <c r="AC9" s="182"/>
      <c r="AD9" s="182"/>
      <c r="AE9" s="182"/>
      <c r="AF9" s="182"/>
      <c r="AG9" s="182"/>
      <c r="AH9" s="182"/>
      <c r="AI9" s="182"/>
      <c r="AJ9" s="182"/>
      <c r="AK9" s="182"/>
      <c r="AL9" s="182"/>
      <c r="AM9" s="182"/>
      <c r="AN9" s="182"/>
      <c r="AO9" s="182"/>
      <c r="AP9" s="182"/>
      <c r="AQ9" s="182"/>
      <c r="AR9" s="182"/>
      <c r="AS9" s="182"/>
      <c r="AT9" s="182"/>
      <c r="AU9" s="182"/>
      <c r="AV9" s="182"/>
      <c r="AW9" s="182"/>
      <c r="AX9" s="182"/>
      <c r="AY9" s="182"/>
      <c r="AZ9" s="182"/>
      <c r="BA9" s="182"/>
      <c r="BB9" s="182"/>
      <c r="BC9" s="182"/>
      <c r="BD9" s="182"/>
      <c r="BE9" s="182"/>
      <c r="BF9" s="182"/>
      <c r="BG9" s="182"/>
      <c r="BH9" s="182"/>
      <c r="BI9" s="182"/>
      <c r="BJ9" s="182"/>
      <c r="BK9" s="182"/>
      <c r="BL9" s="182"/>
      <c r="BM9" s="182"/>
      <c r="BN9" s="182"/>
      <c r="BO9" s="182"/>
      <c r="BP9" s="182"/>
      <c r="BQ9" s="182"/>
      <c r="BR9" s="182"/>
      <c r="BS9" s="182"/>
      <c r="BT9" s="182"/>
      <c r="BU9" s="182"/>
      <c r="BV9" s="182"/>
      <c r="BW9" s="182"/>
      <c r="BX9" s="182"/>
      <c r="BY9" s="182"/>
      <c r="BZ9" s="182"/>
      <c r="CA9" s="182"/>
      <c r="CB9" s="182"/>
      <c r="CC9" s="182"/>
      <c r="CD9" s="182"/>
      <c r="CE9" s="182"/>
      <c r="CF9" s="182"/>
      <c r="CG9" s="182"/>
      <c r="CH9" s="182"/>
      <c r="CI9" s="182"/>
      <c r="CJ9" s="182"/>
      <c r="CK9" s="182"/>
      <c r="CL9" s="182"/>
      <c r="CM9" s="182"/>
      <c r="CN9" s="182"/>
      <c r="CO9" s="182"/>
      <c r="CP9" s="182"/>
      <c r="CQ9" s="182"/>
      <c r="CR9" s="182"/>
      <c r="CS9" s="182"/>
      <c r="CT9" s="182"/>
      <c r="CU9" s="182"/>
      <c r="CV9" s="182"/>
      <c r="CW9" s="182"/>
      <c r="CX9" s="182"/>
      <c r="CY9" s="182"/>
      <c r="CZ9" s="182"/>
      <c r="DA9" s="182"/>
      <c r="DB9" s="182"/>
      <c r="DC9" s="182"/>
      <c r="DD9" s="182"/>
    </row>
    <row r="10" spans="1:108" s="16" customFormat="1" ht="19.5" customHeight="1" x14ac:dyDescent="0.15">
      <c r="A10" s="70" t="s">
        <v>14</v>
      </c>
      <c r="B10" s="110">
        <v>46179</v>
      </c>
      <c r="C10" s="146"/>
      <c r="D10" s="95"/>
      <c r="E10" s="95"/>
      <c r="F10" s="95"/>
      <c r="G10" s="95"/>
      <c r="H10" s="95"/>
      <c r="I10" s="95"/>
      <c r="J10" s="95"/>
      <c r="L10" s="182"/>
      <c r="M10" s="182"/>
      <c r="N10" s="182"/>
      <c r="O10" s="182"/>
      <c r="P10" s="182"/>
      <c r="Q10" s="182"/>
      <c r="R10" s="182"/>
      <c r="S10" s="182"/>
      <c r="T10" s="182"/>
      <c r="U10" s="182"/>
      <c r="V10" s="182"/>
      <c r="W10" s="182"/>
      <c r="X10" s="182"/>
      <c r="Y10" s="182"/>
      <c r="Z10" s="182"/>
      <c r="AA10" s="182"/>
      <c r="AB10" s="182"/>
      <c r="AC10" s="182"/>
      <c r="AD10" s="182"/>
      <c r="AE10" s="182"/>
      <c r="AF10" s="182"/>
      <c r="AG10" s="182"/>
      <c r="AH10" s="182"/>
      <c r="AI10" s="182"/>
      <c r="AJ10" s="182"/>
      <c r="AK10" s="182"/>
      <c r="AL10" s="182"/>
      <c r="AM10" s="182"/>
      <c r="AN10" s="182"/>
      <c r="AO10" s="182"/>
      <c r="AP10" s="182"/>
      <c r="AQ10" s="182"/>
      <c r="AR10" s="182"/>
      <c r="AS10" s="182"/>
      <c r="AT10" s="182"/>
      <c r="AU10" s="182"/>
      <c r="AV10" s="182"/>
      <c r="AW10" s="182"/>
      <c r="AX10" s="182"/>
      <c r="AY10" s="182"/>
      <c r="AZ10" s="182"/>
      <c r="BA10" s="182"/>
      <c r="BB10" s="182"/>
      <c r="BC10" s="182"/>
      <c r="BD10" s="182"/>
      <c r="BE10" s="182"/>
      <c r="BF10" s="182"/>
      <c r="BG10" s="182"/>
      <c r="BH10" s="182"/>
      <c r="BI10" s="182"/>
      <c r="BJ10" s="182"/>
      <c r="BK10" s="182"/>
      <c r="BL10" s="182"/>
      <c r="BM10" s="182"/>
      <c r="BN10" s="182"/>
      <c r="BO10" s="182"/>
      <c r="BP10" s="182"/>
      <c r="BQ10" s="182"/>
      <c r="BR10" s="182"/>
      <c r="BS10" s="182"/>
      <c r="BT10" s="182"/>
      <c r="BU10" s="182"/>
      <c r="BV10" s="182"/>
      <c r="BW10" s="182"/>
      <c r="BX10" s="182"/>
      <c r="BY10" s="182"/>
      <c r="BZ10" s="182"/>
      <c r="CA10" s="182"/>
      <c r="CB10" s="182"/>
      <c r="CC10" s="182"/>
      <c r="CD10" s="182"/>
      <c r="CE10" s="182"/>
      <c r="CF10" s="182"/>
      <c r="CG10" s="182"/>
      <c r="CH10" s="182"/>
      <c r="CI10" s="182"/>
      <c r="CJ10" s="182"/>
      <c r="CK10" s="182"/>
      <c r="CL10" s="182"/>
      <c r="CM10" s="182"/>
      <c r="CN10" s="182"/>
      <c r="CO10" s="182"/>
      <c r="CP10" s="182"/>
      <c r="CQ10" s="182"/>
      <c r="CR10" s="182"/>
      <c r="CS10" s="182"/>
      <c r="CT10" s="182"/>
      <c r="CU10" s="182"/>
      <c r="CV10" s="182"/>
      <c r="CW10" s="182"/>
      <c r="CX10" s="182"/>
      <c r="CY10" s="182"/>
      <c r="CZ10" s="182"/>
      <c r="DA10" s="182"/>
      <c r="DB10" s="182"/>
      <c r="DC10" s="182"/>
      <c r="DD10" s="182"/>
    </row>
    <row r="11" spans="1:108" s="16" customFormat="1" ht="19.5" customHeight="1" x14ac:dyDescent="0.15">
      <c r="A11" s="83" t="s">
        <v>15</v>
      </c>
      <c r="B11" s="82">
        <v>46180</v>
      </c>
      <c r="C11" s="145"/>
      <c r="D11" s="78"/>
      <c r="E11" s="78"/>
      <c r="F11" s="78"/>
      <c r="G11" s="78"/>
      <c r="H11" s="78"/>
      <c r="I11" s="78"/>
      <c r="J11" s="78"/>
      <c r="L11" s="182"/>
      <c r="M11" s="182"/>
      <c r="N11" s="182"/>
      <c r="O11" s="182"/>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c r="AM11" s="182"/>
      <c r="AN11" s="182"/>
      <c r="AO11" s="182"/>
      <c r="AP11" s="182"/>
      <c r="AQ11" s="182"/>
      <c r="AR11" s="182"/>
      <c r="AS11" s="182"/>
      <c r="AT11" s="182"/>
      <c r="AU11" s="182"/>
      <c r="AV11" s="182"/>
      <c r="AW11" s="182"/>
      <c r="AX11" s="182"/>
      <c r="AY11" s="182"/>
      <c r="AZ11" s="182"/>
      <c r="BA11" s="182"/>
      <c r="BB11" s="182"/>
      <c r="BC11" s="182"/>
      <c r="BD11" s="182"/>
      <c r="BE11" s="182"/>
      <c r="BF11" s="182"/>
      <c r="BG11" s="182"/>
      <c r="BH11" s="182"/>
      <c r="BI11" s="182"/>
      <c r="BJ11" s="182"/>
      <c r="BK11" s="182"/>
      <c r="BL11" s="182"/>
      <c r="BM11" s="182"/>
      <c r="BN11" s="182"/>
      <c r="BO11" s="182"/>
      <c r="BP11" s="182"/>
      <c r="BQ11" s="182"/>
      <c r="BR11" s="182"/>
      <c r="BS11" s="182"/>
      <c r="BT11" s="182"/>
      <c r="BU11" s="182"/>
      <c r="BV11" s="182"/>
      <c r="BW11" s="182"/>
      <c r="BX11" s="182"/>
      <c r="BY11" s="182"/>
      <c r="BZ11" s="182"/>
      <c r="CA11" s="182"/>
      <c r="CB11" s="182"/>
      <c r="CC11" s="182"/>
      <c r="CD11" s="182"/>
      <c r="CE11" s="182"/>
      <c r="CF11" s="182"/>
      <c r="CG11" s="182"/>
      <c r="CH11" s="182"/>
      <c r="CI11" s="182"/>
      <c r="CJ11" s="182"/>
      <c r="CK11" s="182"/>
      <c r="CL11" s="182"/>
      <c r="CM11" s="182"/>
      <c r="CN11" s="182"/>
      <c r="CO11" s="182"/>
      <c r="CP11" s="182"/>
      <c r="CQ11" s="182"/>
      <c r="CR11" s="182"/>
      <c r="CS11" s="182"/>
      <c r="CT11" s="182"/>
      <c r="CU11" s="182"/>
      <c r="CV11" s="182"/>
      <c r="CW11" s="182"/>
      <c r="CX11" s="182"/>
      <c r="CY11" s="182"/>
      <c r="CZ11" s="182"/>
      <c r="DA11" s="182"/>
      <c r="DB11" s="182"/>
      <c r="DC11" s="182"/>
      <c r="DD11" s="182"/>
    </row>
    <row r="12" spans="1:108" s="16" customFormat="1" ht="19.5" customHeight="1" x14ac:dyDescent="0.15">
      <c r="A12" s="70" t="s">
        <v>16</v>
      </c>
      <c r="B12" s="110">
        <v>46181</v>
      </c>
      <c r="C12" s="146" t="s">
        <v>192</v>
      </c>
      <c r="D12" s="95">
        <v>143</v>
      </c>
      <c r="E12" s="95">
        <f>699021*1.1</f>
        <v>768923.10000000009</v>
      </c>
      <c r="F12" s="95">
        <v>129</v>
      </c>
      <c r="G12" s="95">
        <f>806574*1.1</f>
        <v>887231.4</v>
      </c>
      <c r="H12" s="95">
        <v>272</v>
      </c>
      <c r="I12" s="95">
        <f>INT(750029*1.1)</f>
        <v>825031</v>
      </c>
      <c r="J12" s="95">
        <f>-42432*1.1</f>
        <v>-46675.200000000004</v>
      </c>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S12" s="182"/>
      <c r="AT12" s="182"/>
      <c r="AU12" s="182"/>
      <c r="AV12" s="182"/>
      <c r="AW12" s="182"/>
      <c r="AX12" s="182"/>
      <c r="AY12" s="182"/>
      <c r="AZ12" s="182"/>
      <c r="BA12" s="182"/>
      <c r="BB12" s="182"/>
      <c r="BC12" s="182"/>
      <c r="BD12" s="182"/>
      <c r="BE12" s="182"/>
      <c r="BF12" s="182"/>
      <c r="BG12" s="182"/>
      <c r="BH12" s="182"/>
      <c r="BI12" s="182"/>
      <c r="BJ12" s="182"/>
      <c r="BK12" s="182"/>
      <c r="BL12" s="182"/>
      <c r="BM12" s="182"/>
      <c r="BN12" s="182"/>
      <c r="BO12" s="182"/>
      <c r="BP12" s="182"/>
      <c r="BQ12" s="182"/>
      <c r="BR12" s="182"/>
      <c r="BS12" s="182"/>
      <c r="BT12" s="182"/>
      <c r="BU12" s="182"/>
      <c r="BV12" s="182"/>
      <c r="BW12" s="182"/>
      <c r="BX12" s="182"/>
      <c r="BY12" s="182"/>
      <c r="BZ12" s="182"/>
      <c r="CA12" s="182"/>
      <c r="CB12" s="182"/>
      <c r="CC12" s="182"/>
      <c r="CD12" s="182"/>
      <c r="CE12" s="182"/>
      <c r="CF12" s="182"/>
      <c r="CG12" s="182"/>
      <c r="CH12" s="182"/>
      <c r="CI12" s="182"/>
      <c r="CJ12" s="182"/>
      <c r="CK12" s="182"/>
      <c r="CL12" s="182"/>
      <c r="CM12" s="182"/>
      <c r="CN12" s="182"/>
      <c r="CO12" s="182"/>
      <c r="CP12" s="182"/>
      <c r="CQ12" s="182"/>
      <c r="CR12" s="182"/>
      <c r="CS12" s="182"/>
      <c r="CT12" s="182"/>
      <c r="CU12" s="182"/>
      <c r="CV12" s="182"/>
      <c r="CW12" s="182"/>
      <c r="CX12" s="182"/>
      <c r="CY12" s="182"/>
      <c r="CZ12" s="182"/>
      <c r="DA12" s="182"/>
      <c r="DB12" s="182"/>
      <c r="DC12" s="182"/>
      <c r="DD12" s="182"/>
    </row>
    <row r="13" spans="1:108" s="16" customFormat="1" ht="19.5" customHeight="1" x14ac:dyDescent="0.15">
      <c r="A13" s="70" t="s">
        <v>17</v>
      </c>
      <c r="B13" s="110">
        <v>46182</v>
      </c>
      <c r="C13" s="146" t="s">
        <v>192</v>
      </c>
      <c r="D13" s="95">
        <v>63</v>
      </c>
      <c r="E13" s="95">
        <f>686968*1.1</f>
        <v>755664.8</v>
      </c>
      <c r="F13" s="95">
        <v>132</v>
      </c>
      <c r="G13" s="95">
        <f>829265*1.1</f>
        <v>912191.50000000012</v>
      </c>
      <c r="H13" s="95">
        <v>195</v>
      </c>
      <c r="I13" s="95">
        <f>783292*1.1</f>
        <v>861621.20000000007</v>
      </c>
      <c r="J13" s="95">
        <f>-12458*1.1</f>
        <v>-13703.800000000001</v>
      </c>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2"/>
      <c r="BB13" s="182"/>
      <c r="BC13" s="182"/>
      <c r="BD13" s="182"/>
      <c r="BE13" s="182"/>
      <c r="BF13" s="182"/>
      <c r="BG13" s="182"/>
      <c r="BH13" s="182"/>
      <c r="BI13" s="182"/>
      <c r="BJ13" s="182"/>
      <c r="BK13" s="182"/>
      <c r="BL13" s="182"/>
      <c r="BM13" s="182"/>
      <c r="BN13" s="182"/>
      <c r="BO13" s="182"/>
      <c r="BP13" s="182"/>
      <c r="BQ13" s="182"/>
      <c r="BR13" s="182"/>
      <c r="BS13" s="182"/>
      <c r="BT13" s="182"/>
      <c r="BU13" s="182"/>
      <c r="BV13" s="182"/>
      <c r="BW13" s="182"/>
      <c r="BX13" s="182"/>
      <c r="BY13" s="182"/>
      <c r="BZ13" s="182"/>
      <c r="CA13" s="182"/>
      <c r="CB13" s="182"/>
      <c r="CC13" s="182"/>
      <c r="CD13" s="182"/>
      <c r="CE13" s="182"/>
      <c r="CF13" s="182"/>
      <c r="CG13" s="182"/>
      <c r="CH13" s="182"/>
      <c r="CI13" s="182"/>
      <c r="CJ13" s="182"/>
      <c r="CK13" s="182"/>
      <c r="CL13" s="182"/>
      <c r="CM13" s="182"/>
      <c r="CN13" s="182"/>
      <c r="CO13" s="182"/>
      <c r="CP13" s="182"/>
      <c r="CQ13" s="182"/>
      <c r="CR13" s="182"/>
      <c r="CS13" s="182"/>
      <c r="CT13" s="182"/>
      <c r="CU13" s="182"/>
      <c r="CV13" s="182"/>
      <c r="CW13" s="182"/>
      <c r="CX13" s="182"/>
      <c r="CY13" s="182"/>
      <c r="CZ13" s="182"/>
      <c r="DA13" s="182"/>
      <c r="DB13" s="182"/>
      <c r="DC13" s="182"/>
      <c r="DD13" s="182"/>
    </row>
    <row r="14" spans="1:108" s="16" customFormat="1" ht="19.5" customHeight="1" x14ac:dyDescent="0.15">
      <c r="A14" s="70" t="s">
        <v>18</v>
      </c>
      <c r="B14" s="110">
        <v>46183</v>
      </c>
      <c r="C14" s="146" t="s">
        <v>191</v>
      </c>
      <c r="D14" s="95">
        <v>104</v>
      </c>
      <c r="E14" s="95">
        <f>728385*1.1</f>
        <v>801223.50000000012</v>
      </c>
      <c r="F14" s="95">
        <v>134</v>
      </c>
      <c r="G14" s="95">
        <f>816627*1.1</f>
        <v>898289.70000000007</v>
      </c>
      <c r="H14" s="95">
        <v>238</v>
      </c>
      <c r="I14" s="95">
        <f>INT(778067*1.1)</f>
        <v>855873</v>
      </c>
      <c r="J14" s="95">
        <f>-15568*1.1</f>
        <v>-17124.800000000003</v>
      </c>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2"/>
      <c r="AP14" s="182"/>
      <c r="AQ14" s="182"/>
      <c r="AR14" s="182"/>
      <c r="AS14" s="182"/>
      <c r="AT14" s="182"/>
      <c r="AU14" s="182"/>
      <c r="AV14" s="182"/>
      <c r="AW14" s="182"/>
      <c r="AX14" s="182"/>
      <c r="AY14" s="182"/>
      <c r="AZ14" s="182"/>
      <c r="BA14" s="182"/>
      <c r="BB14" s="182"/>
      <c r="BC14" s="182"/>
      <c r="BD14" s="182"/>
      <c r="BE14" s="182"/>
      <c r="BF14" s="182"/>
      <c r="BG14" s="182"/>
      <c r="BH14" s="182"/>
      <c r="BI14" s="182"/>
      <c r="BJ14" s="182"/>
      <c r="BK14" s="182"/>
      <c r="BL14" s="182"/>
      <c r="BM14" s="182"/>
      <c r="BN14" s="182"/>
      <c r="BO14" s="182"/>
      <c r="BP14" s="182"/>
      <c r="BQ14" s="182"/>
      <c r="BR14" s="182"/>
      <c r="BS14" s="182"/>
      <c r="BT14" s="182"/>
      <c r="BU14" s="182"/>
      <c r="BV14" s="182"/>
      <c r="BW14" s="182"/>
      <c r="BX14" s="182"/>
      <c r="BY14" s="182"/>
      <c r="BZ14" s="182"/>
      <c r="CA14" s="182"/>
      <c r="CB14" s="182"/>
      <c r="CC14" s="182"/>
      <c r="CD14" s="182"/>
      <c r="CE14" s="182"/>
      <c r="CF14" s="182"/>
      <c r="CG14" s="182"/>
      <c r="CH14" s="182"/>
      <c r="CI14" s="182"/>
      <c r="CJ14" s="182"/>
      <c r="CK14" s="182"/>
      <c r="CL14" s="182"/>
      <c r="CM14" s="182"/>
      <c r="CN14" s="182"/>
      <c r="CO14" s="182"/>
      <c r="CP14" s="182"/>
      <c r="CQ14" s="182"/>
      <c r="CR14" s="182"/>
      <c r="CS14" s="182"/>
      <c r="CT14" s="182"/>
      <c r="CU14" s="182"/>
      <c r="CV14" s="182"/>
      <c r="CW14" s="182"/>
      <c r="CX14" s="182"/>
      <c r="CY14" s="182"/>
      <c r="CZ14" s="182"/>
      <c r="DA14" s="182"/>
      <c r="DB14" s="182"/>
      <c r="DC14" s="182"/>
      <c r="DD14" s="182"/>
    </row>
    <row r="15" spans="1:108" s="16" customFormat="1" ht="19.5" customHeight="1" x14ac:dyDescent="0.15">
      <c r="A15" s="70" t="s">
        <v>19</v>
      </c>
      <c r="B15" s="110">
        <v>46184</v>
      </c>
      <c r="C15" s="146" t="s">
        <v>191</v>
      </c>
      <c r="D15" s="95">
        <v>101</v>
      </c>
      <c r="E15" s="95">
        <f>717802*1.1</f>
        <v>789582.20000000007</v>
      </c>
      <c r="F15" s="95">
        <v>151</v>
      </c>
      <c r="G15" s="95">
        <f>822351*1.1</f>
        <v>904586.10000000009</v>
      </c>
      <c r="H15" s="95">
        <v>252</v>
      </c>
      <c r="I15" s="95">
        <f>INT(780448*1.1)</f>
        <v>858492</v>
      </c>
      <c r="J15" s="95">
        <f>-13187*1.1</f>
        <v>-14505.7</v>
      </c>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2"/>
      <c r="AJ15" s="182"/>
      <c r="AK15" s="182"/>
      <c r="AL15" s="182"/>
      <c r="AM15" s="182"/>
      <c r="AN15" s="182"/>
      <c r="AO15" s="182"/>
      <c r="AP15" s="182"/>
      <c r="AQ15" s="182"/>
      <c r="AR15" s="182"/>
      <c r="AS15" s="182"/>
      <c r="AT15" s="182"/>
      <c r="AU15" s="182"/>
      <c r="AV15" s="182"/>
      <c r="AW15" s="182"/>
      <c r="AX15" s="182"/>
      <c r="AY15" s="182"/>
      <c r="AZ15" s="182"/>
      <c r="BA15" s="182"/>
      <c r="BB15" s="182"/>
      <c r="BC15" s="182"/>
      <c r="BD15" s="182"/>
      <c r="BE15" s="182"/>
      <c r="BF15" s="182"/>
      <c r="BG15" s="182"/>
      <c r="BH15" s="182"/>
      <c r="BI15" s="182"/>
      <c r="BJ15" s="182"/>
      <c r="BK15" s="182"/>
      <c r="BL15" s="182"/>
      <c r="BM15" s="182"/>
      <c r="BN15" s="182"/>
      <c r="BO15" s="182"/>
      <c r="BP15" s="182"/>
      <c r="BQ15" s="182"/>
      <c r="BR15" s="182"/>
      <c r="BS15" s="182"/>
      <c r="BT15" s="182"/>
      <c r="BU15" s="182"/>
      <c r="BV15" s="182"/>
      <c r="BW15" s="182"/>
      <c r="BX15" s="182"/>
      <c r="BY15" s="182"/>
      <c r="BZ15" s="182"/>
      <c r="CA15" s="182"/>
      <c r="CB15" s="182"/>
      <c r="CC15" s="182"/>
      <c r="CD15" s="182"/>
      <c r="CE15" s="182"/>
      <c r="CF15" s="182"/>
      <c r="CG15" s="182"/>
      <c r="CH15" s="182"/>
      <c r="CI15" s="182"/>
      <c r="CJ15" s="182"/>
      <c r="CK15" s="182"/>
      <c r="CL15" s="182"/>
      <c r="CM15" s="182"/>
      <c r="CN15" s="182"/>
      <c r="CO15" s="182"/>
      <c r="CP15" s="182"/>
      <c r="CQ15" s="182"/>
      <c r="CR15" s="182"/>
      <c r="CS15" s="182"/>
      <c r="CT15" s="182"/>
      <c r="CU15" s="182"/>
      <c r="CV15" s="182"/>
      <c r="CW15" s="182"/>
      <c r="CX15" s="182"/>
      <c r="CY15" s="182"/>
      <c r="CZ15" s="182"/>
      <c r="DA15" s="182"/>
      <c r="DB15" s="182"/>
      <c r="DC15" s="182"/>
      <c r="DD15" s="182"/>
    </row>
    <row r="16" spans="1:108" s="16" customFormat="1" ht="19.5" customHeight="1" x14ac:dyDescent="0.15">
      <c r="A16" s="70" t="s">
        <v>20</v>
      </c>
      <c r="B16" s="110">
        <v>46185</v>
      </c>
      <c r="C16" s="146" t="s">
        <v>207</v>
      </c>
      <c r="D16" s="95">
        <v>154</v>
      </c>
      <c r="E16" s="95">
        <f>696097*1.1</f>
        <v>765706.70000000007</v>
      </c>
      <c r="F16" s="95">
        <v>165</v>
      </c>
      <c r="G16" s="95">
        <f>804012*1.1</f>
        <v>884413.20000000007</v>
      </c>
      <c r="H16" s="95">
        <v>319</v>
      </c>
      <c r="I16" s="95">
        <f>INT(751915*1.1)</f>
        <v>827106</v>
      </c>
      <c r="J16" s="95">
        <f>-48544*1.1</f>
        <v>-53398.400000000001</v>
      </c>
      <c r="K16" s="16" t="s">
        <v>64</v>
      </c>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2"/>
      <c r="BS16" s="182"/>
      <c r="BT16" s="182"/>
      <c r="BU16" s="182"/>
      <c r="BV16" s="182"/>
      <c r="BW16" s="182"/>
      <c r="BX16" s="182"/>
      <c r="BY16" s="182"/>
      <c r="BZ16" s="182"/>
      <c r="CA16" s="182"/>
      <c r="CB16" s="182"/>
      <c r="CC16" s="182"/>
      <c r="CD16" s="182"/>
      <c r="CE16" s="182"/>
      <c r="CF16" s="182"/>
      <c r="CG16" s="182"/>
      <c r="CH16" s="182"/>
      <c r="CI16" s="182"/>
      <c r="CJ16" s="182"/>
      <c r="CK16" s="182"/>
      <c r="CL16" s="182"/>
      <c r="CM16" s="182"/>
      <c r="CN16" s="182"/>
      <c r="CO16" s="182"/>
      <c r="CP16" s="182"/>
      <c r="CQ16" s="182"/>
      <c r="CR16" s="182"/>
      <c r="CS16" s="182"/>
      <c r="CT16" s="182"/>
      <c r="CU16" s="182"/>
      <c r="CV16" s="182"/>
      <c r="CW16" s="182"/>
      <c r="CX16" s="182"/>
      <c r="CY16" s="182"/>
      <c r="CZ16" s="182"/>
      <c r="DA16" s="182"/>
      <c r="DB16" s="182"/>
      <c r="DC16" s="182"/>
      <c r="DD16" s="182"/>
    </row>
    <row r="17" spans="1:108" s="16" customFormat="1" ht="19.5" customHeight="1" x14ac:dyDescent="0.15">
      <c r="A17" s="70" t="s">
        <v>21</v>
      </c>
      <c r="B17" s="110">
        <v>46186</v>
      </c>
      <c r="C17" s="146" t="s">
        <v>188</v>
      </c>
      <c r="D17" s="95">
        <v>186</v>
      </c>
      <c r="E17" s="95">
        <f>681419*1.1</f>
        <v>749560.9</v>
      </c>
      <c r="F17" s="95">
        <v>214</v>
      </c>
      <c r="G17" s="95">
        <f>800051*1.1</f>
        <v>880056.10000000009</v>
      </c>
      <c r="H17" s="95">
        <v>400</v>
      </c>
      <c r="I17" s="95">
        <f>INT(744888*1.1)</f>
        <v>819376</v>
      </c>
      <c r="J17" s="95">
        <f>-23797*1.1</f>
        <v>-26176.7</v>
      </c>
      <c r="L17" s="182"/>
      <c r="M17" s="182"/>
      <c r="N17" s="182"/>
      <c r="O17" s="182"/>
      <c r="P17" s="182"/>
      <c r="Q17" s="182"/>
      <c r="R17" s="182"/>
      <c r="S17" s="182"/>
      <c r="T17" s="182"/>
      <c r="U17" s="182"/>
      <c r="V17" s="182"/>
      <c r="W17" s="182"/>
      <c r="X17" s="182"/>
      <c r="Y17" s="182"/>
      <c r="Z17" s="182"/>
      <c r="AA17" s="182"/>
      <c r="AB17" s="182"/>
      <c r="AC17" s="182"/>
      <c r="AD17" s="182"/>
      <c r="AE17" s="182"/>
      <c r="AF17" s="182"/>
      <c r="AG17" s="182"/>
      <c r="AH17" s="182"/>
      <c r="AI17" s="182"/>
      <c r="AJ17" s="182"/>
      <c r="AK17" s="182"/>
      <c r="AL17" s="182"/>
      <c r="AM17" s="182"/>
      <c r="AN17" s="182"/>
      <c r="AO17" s="182"/>
      <c r="AP17" s="182"/>
      <c r="AQ17" s="182"/>
      <c r="AR17" s="182"/>
      <c r="AS17" s="182"/>
      <c r="AT17" s="182"/>
      <c r="AU17" s="182"/>
      <c r="AV17" s="182"/>
      <c r="AW17" s="182"/>
      <c r="AX17" s="182"/>
      <c r="AY17" s="182"/>
      <c r="AZ17" s="182"/>
      <c r="BA17" s="182"/>
      <c r="BB17" s="182"/>
      <c r="BC17" s="182"/>
      <c r="BD17" s="182"/>
      <c r="BE17" s="182"/>
      <c r="BF17" s="182"/>
      <c r="BG17" s="182"/>
      <c r="BH17" s="182"/>
      <c r="BI17" s="182"/>
      <c r="BJ17" s="182"/>
      <c r="BK17" s="182"/>
      <c r="BL17" s="182"/>
      <c r="BM17" s="182"/>
      <c r="BN17" s="182"/>
      <c r="BO17" s="182"/>
      <c r="BP17" s="182"/>
      <c r="BQ17" s="182"/>
      <c r="BR17" s="182"/>
      <c r="BS17" s="182"/>
      <c r="BT17" s="182"/>
      <c r="BU17" s="182"/>
      <c r="BV17" s="182"/>
      <c r="BW17" s="182"/>
      <c r="BX17" s="182"/>
      <c r="BY17" s="182"/>
      <c r="BZ17" s="182"/>
      <c r="CA17" s="182"/>
      <c r="CB17" s="182"/>
      <c r="CC17" s="182"/>
      <c r="CD17" s="182"/>
      <c r="CE17" s="182"/>
      <c r="CF17" s="182"/>
      <c r="CG17" s="182"/>
      <c r="CH17" s="182"/>
      <c r="CI17" s="182"/>
      <c r="CJ17" s="182"/>
      <c r="CK17" s="182"/>
      <c r="CL17" s="182"/>
      <c r="CM17" s="182"/>
      <c r="CN17" s="182"/>
      <c r="CO17" s="182"/>
      <c r="CP17" s="182"/>
      <c r="CQ17" s="182"/>
      <c r="CR17" s="182"/>
      <c r="CS17" s="182"/>
      <c r="CT17" s="182"/>
      <c r="CU17" s="182"/>
      <c r="CV17" s="182"/>
      <c r="CW17" s="182"/>
      <c r="CX17" s="182"/>
      <c r="CY17" s="182"/>
      <c r="CZ17" s="182"/>
      <c r="DA17" s="182"/>
      <c r="DB17" s="182"/>
      <c r="DC17" s="182"/>
      <c r="DD17" s="182"/>
    </row>
    <row r="18" spans="1:108" s="16" customFormat="1" ht="19.5" customHeight="1" x14ac:dyDescent="0.15">
      <c r="A18" s="83" t="s">
        <v>22</v>
      </c>
      <c r="B18" s="82">
        <v>46187</v>
      </c>
      <c r="C18" s="176" t="s">
        <v>204</v>
      </c>
      <c r="D18" s="78">
        <v>96</v>
      </c>
      <c r="E18" s="78">
        <f>684365*1.1</f>
        <v>752801.50000000012</v>
      </c>
      <c r="F18" s="78">
        <v>132</v>
      </c>
      <c r="G18" s="78">
        <f>779598*1.1</f>
        <v>857557.8</v>
      </c>
      <c r="H18" s="78">
        <v>228</v>
      </c>
      <c r="I18" s="78">
        <f>739500*1.1</f>
        <v>813450.00000000012</v>
      </c>
      <c r="J18" s="78">
        <f>-29184*1.1</f>
        <v>-32102.400000000001</v>
      </c>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2"/>
      <c r="BS18" s="182"/>
      <c r="BT18" s="182"/>
      <c r="BU18" s="182"/>
      <c r="BV18" s="182"/>
      <c r="BW18" s="182"/>
      <c r="BX18" s="182"/>
      <c r="BY18" s="182"/>
      <c r="BZ18" s="182"/>
      <c r="CA18" s="182"/>
      <c r="CB18" s="182"/>
      <c r="CC18" s="182"/>
      <c r="CD18" s="182"/>
      <c r="CE18" s="182"/>
      <c r="CF18" s="182"/>
      <c r="CG18" s="182"/>
      <c r="CH18" s="182"/>
      <c r="CI18" s="182"/>
      <c r="CJ18" s="182"/>
      <c r="CK18" s="182"/>
      <c r="CL18" s="182"/>
      <c r="CM18" s="182"/>
      <c r="CN18" s="182"/>
      <c r="CO18" s="182"/>
      <c r="CP18" s="182"/>
      <c r="CQ18" s="182"/>
      <c r="CR18" s="182"/>
      <c r="CS18" s="182"/>
      <c r="CT18" s="182"/>
      <c r="CU18" s="182"/>
      <c r="CV18" s="182"/>
      <c r="CW18" s="182"/>
      <c r="CX18" s="182"/>
      <c r="CY18" s="182"/>
      <c r="CZ18" s="182"/>
      <c r="DA18" s="182"/>
      <c r="DB18" s="182"/>
      <c r="DC18" s="182"/>
      <c r="DD18" s="182"/>
    </row>
    <row r="19" spans="1:108" s="16" customFormat="1" ht="19.5" customHeight="1" x14ac:dyDescent="0.15">
      <c r="A19" s="70" t="s">
        <v>23</v>
      </c>
      <c r="B19" s="110">
        <v>46188</v>
      </c>
      <c r="C19" s="146"/>
      <c r="D19" s="95"/>
      <c r="E19" s="95"/>
      <c r="F19" s="95"/>
      <c r="G19" s="95"/>
      <c r="H19" s="95"/>
      <c r="I19" s="95"/>
      <c r="J19" s="95"/>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2"/>
      <c r="BC19" s="182"/>
      <c r="BD19" s="182"/>
      <c r="BE19" s="182"/>
      <c r="BF19" s="182"/>
      <c r="BG19" s="182"/>
      <c r="BH19" s="182"/>
      <c r="BI19" s="182"/>
      <c r="BJ19" s="182"/>
      <c r="BK19" s="182"/>
      <c r="BL19" s="182"/>
      <c r="BM19" s="182"/>
      <c r="BN19" s="182"/>
      <c r="BO19" s="182"/>
      <c r="BP19" s="182"/>
      <c r="BQ19" s="182"/>
      <c r="BR19" s="182"/>
      <c r="BS19" s="182"/>
      <c r="BT19" s="182"/>
      <c r="BU19" s="182"/>
      <c r="BV19" s="182"/>
      <c r="BW19" s="182"/>
      <c r="BX19" s="182"/>
      <c r="BY19" s="182"/>
      <c r="BZ19" s="182"/>
      <c r="CA19" s="182"/>
      <c r="CB19" s="182"/>
      <c r="CC19" s="182"/>
      <c r="CD19" s="182"/>
      <c r="CE19" s="182"/>
      <c r="CF19" s="182"/>
      <c r="CG19" s="182"/>
      <c r="CH19" s="182"/>
      <c r="CI19" s="182"/>
      <c r="CJ19" s="182"/>
      <c r="CK19" s="182"/>
      <c r="CL19" s="182"/>
      <c r="CM19" s="182"/>
      <c r="CN19" s="182"/>
      <c r="CO19" s="182"/>
      <c r="CP19" s="182"/>
      <c r="CQ19" s="182"/>
      <c r="CR19" s="182"/>
      <c r="CS19" s="182"/>
      <c r="CT19" s="182"/>
      <c r="CU19" s="182"/>
      <c r="CV19" s="182"/>
      <c r="CW19" s="182"/>
      <c r="CX19" s="182"/>
      <c r="CY19" s="182"/>
      <c r="CZ19" s="182"/>
      <c r="DA19" s="182"/>
      <c r="DB19" s="182"/>
      <c r="DC19" s="182"/>
      <c r="DD19" s="182"/>
    </row>
    <row r="20" spans="1:108" s="16" customFormat="1" ht="19.5" customHeight="1" x14ac:dyDescent="0.15">
      <c r="A20" s="70" t="s">
        <v>24</v>
      </c>
      <c r="B20" s="110">
        <v>46189</v>
      </c>
      <c r="C20" s="146" t="s">
        <v>195</v>
      </c>
      <c r="D20" s="95">
        <v>205</v>
      </c>
      <c r="E20" s="95">
        <f>655049*1.1</f>
        <v>720553.9</v>
      </c>
      <c r="F20" s="95">
        <v>256</v>
      </c>
      <c r="G20" s="95">
        <f>777633*1.1</f>
        <v>855396.3</v>
      </c>
      <c r="H20" s="95">
        <v>461</v>
      </c>
      <c r="I20" s="95">
        <f>723121*1.1</f>
        <v>795433.10000000009</v>
      </c>
      <c r="J20" s="95">
        <f>-56522*1.1</f>
        <v>-62174.200000000004</v>
      </c>
      <c r="K20" s="16" t="s">
        <v>65</v>
      </c>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182"/>
      <c r="BU20" s="182"/>
      <c r="BV20" s="182"/>
      <c r="BW20" s="182"/>
      <c r="BX20" s="182"/>
      <c r="BY20" s="182"/>
      <c r="BZ20" s="182"/>
      <c r="CA20" s="182"/>
      <c r="CB20" s="182"/>
      <c r="CC20" s="182"/>
      <c r="CD20" s="182"/>
      <c r="CE20" s="182"/>
      <c r="CF20" s="182"/>
      <c r="CG20" s="182"/>
      <c r="CH20" s="182"/>
      <c r="CI20" s="182"/>
      <c r="CJ20" s="182"/>
      <c r="CK20" s="182"/>
      <c r="CL20" s="182"/>
      <c r="CM20" s="182"/>
      <c r="CN20" s="182"/>
      <c r="CO20" s="182"/>
      <c r="CP20" s="182"/>
      <c r="CQ20" s="182"/>
      <c r="CR20" s="182"/>
      <c r="CS20" s="182"/>
      <c r="CT20" s="182"/>
      <c r="CU20" s="182"/>
      <c r="CV20" s="182"/>
      <c r="CW20" s="182"/>
      <c r="CX20" s="182"/>
      <c r="CY20" s="182"/>
      <c r="CZ20" s="182"/>
      <c r="DA20" s="182"/>
      <c r="DB20" s="182"/>
      <c r="DC20" s="182"/>
      <c r="DD20" s="182"/>
    </row>
    <row r="21" spans="1:108" s="16" customFormat="1" ht="19.5" customHeight="1" x14ac:dyDescent="0.15">
      <c r="A21" s="70" t="s">
        <v>25</v>
      </c>
      <c r="B21" s="110">
        <v>46190</v>
      </c>
      <c r="C21" s="177" t="s">
        <v>193</v>
      </c>
      <c r="D21" s="95">
        <v>178</v>
      </c>
      <c r="E21" s="95">
        <f>702781*1.1</f>
        <v>773059.10000000009</v>
      </c>
      <c r="F21" s="95">
        <v>209</v>
      </c>
      <c r="G21" s="95">
        <f>820182*1.1</f>
        <v>902200.20000000007</v>
      </c>
      <c r="H21" s="95">
        <v>387</v>
      </c>
      <c r="I21" s="95">
        <f>766183*1.1</f>
        <v>842801.3</v>
      </c>
      <c r="J21" s="95">
        <f>-24061*1.1</f>
        <v>-26467.100000000002</v>
      </c>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2"/>
      <c r="AM21" s="182"/>
      <c r="AN21" s="182"/>
      <c r="AO21" s="182"/>
      <c r="AP21" s="182"/>
      <c r="AQ21" s="182"/>
      <c r="AR21" s="182"/>
      <c r="AS21" s="182"/>
      <c r="AT21" s="182"/>
      <c r="AU21" s="182"/>
      <c r="AV21" s="182"/>
      <c r="AW21" s="182"/>
      <c r="AX21" s="182"/>
      <c r="AY21" s="182"/>
      <c r="AZ21" s="182"/>
      <c r="BA21" s="182"/>
      <c r="BB21" s="182"/>
      <c r="BC21" s="182"/>
      <c r="BD21" s="182"/>
      <c r="BE21" s="182"/>
      <c r="BF21" s="182"/>
      <c r="BG21" s="182"/>
      <c r="BH21" s="182"/>
      <c r="BI21" s="182"/>
      <c r="BJ21" s="182"/>
      <c r="BK21" s="182"/>
      <c r="BL21" s="182"/>
      <c r="BM21" s="182"/>
      <c r="BN21" s="182"/>
      <c r="BO21" s="182"/>
      <c r="BP21" s="182"/>
      <c r="BQ21" s="182"/>
      <c r="BR21" s="182"/>
      <c r="BS21" s="182"/>
      <c r="BT21" s="182"/>
      <c r="BU21" s="182"/>
      <c r="BV21" s="182"/>
      <c r="BW21" s="182"/>
      <c r="BX21" s="182"/>
      <c r="BY21" s="182"/>
      <c r="BZ21" s="182"/>
      <c r="CA21" s="182"/>
      <c r="CB21" s="182"/>
      <c r="CC21" s="182"/>
      <c r="CD21" s="182"/>
      <c r="CE21" s="182"/>
      <c r="CF21" s="182"/>
      <c r="CG21" s="182"/>
      <c r="CH21" s="182"/>
      <c r="CI21" s="182"/>
      <c r="CJ21" s="182"/>
      <c r="CK21" s="182"/>
      <c r="CL21" s="182"/>
      <c r="CM21" s="182"/>
      <c r="CN21" s="182"/>
      <c r="CO21" s="182"/>
      <c r="CP21" s="182"/>
      <c r="CQ21" s="182"/>
      <c r="CR21" s="182"/>
      <c r="CS21" s="182"/>
      <c r="CT21" s="182"/>
      <c r="CU21" s="182"/>
      <c r="CV21" s="182"/>
      <c r="CW21" s="182"/>
      <c r="CX21" s="182"/>
      <c r="CY21" s="182"/>
      <c r="CZ21" s="182"/>
      <c r="DA21" s="182"/>
      <c r="DB21" s="182"/>
      <c r="DC21" s="182"/>
      <c r="DD21" s="182"/>
    </row>
    <row r="22" spans="1:108" s="16" customFormat="1" ht="19.5" customHeight="1" x14ac:dyDescent="0.15">
      <c r="A22" s="70" t="s">
        <v>26</v>
      </c>
      <c r="B22" s="110">
        <v>46191</v>
      </c>
      <c r="C22" s="146" t="s">
        <v>193</v>
      </c>
      <c r="D22" s="95">
        <v>193</v>
      </c>
      <c r="E22" s="95">
        <f>702114*1.1</f>
        <v>772325.4</v>
      </c>
      <c r="F22" s="95">
        <v>213</v>
      </c>
      <c r="G22" s="95">
        <f>838066*1.1</f>
        <v>921872.60000000009</v>
      </c>
      <c r="H22" s="95">
        <v>406</v>
      </c>
      <c r="I22" s="95">
        <f>INT(773438*1.1)</f>
        <v>850781</v>
      </c>
      <c r="J22" s="95">
        <f>-16806*1.1</f>
        <v>-18486.600000000002</v>
      </c>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2"/>
      <c r="BS22" s="182"/>
      <c r="BT22" s="182"/>
      <c r="BU22" s="182"/>
      <c r="BV22" s="182"/>
      <c r="BW22" s="182"/>
      <c r="BX22" s="182"/>
      <c r="BY22" s="182"/>
      <c r="BZ22" s="182"/>
      <c r="CA22" s="182"/>
      <c r="CB22" s="182"/>
      <c r="CC22" s="182"/>
      <c r="CD22" s="182"/>
      <c r="CE22" s="182"/>
      <c r="CF22" s="182"/>
      <c r="CG22" s="182"/>
      <c r="CH22" s="182"/>
      <c r="CI22" s="182"/>
      <c r="CJ22" s="182"/>
      <c r="CK22" s="182"/>
      <c r="CL22" s="182"/>
      <c r="CM22" s="182"/>
      <c r="CN22" s="182"/>
      <c r="CO22" s="182"/>
      <c r="CP22" s="182"/>
      <c r="CQ22" s="182"/>
      <c r="CR22" s="182"/>
      <c r="CS22" s="182"/>
      <c r="CT22" s="182"/>
      <c r="CU22" s="182"/>
      <c r="CV22" s="182"/>
      <c r="CW22" s="182"/>
      <c r="CX22" s="182"/>
      <c r="CY22" s="182"/>
      <c r="CZ22" s="182"/>
      <c r="DA22" s="182"/>
      <c r="DB22" s="182"/>
      <c r="DC22" s="182"/>
      <c r="DD22" s="182"/>
    </row>
    <row r="23" spans="1:108" s="16" customFormat="1" ht="19.5" customHeight="1" x14ac:dyDescent="0.15">
      <c r="A23" s="70" t="s">
        <v>27</v>
      </c>
      <c r="B23" s="110">
        <v>46192</v>
      </c>
      <c r="C23" s="146" t="s">
        <v>194</v>
      </c>
      <c r="D23" s="95">
        <v>163</v>
      </c>
      <c r="E23" s="95">
        <f>696896*1.1</f>
        <v>766585.60000000009</v>
      </c>
      <c r="F23" s="95">
        <v>179</v>
      </c>
      <c r="G23" s="95">
        <f>827486*1.1</f>
        <v>910234.60000000009</v>
      </c>
      <c r="H23" s="95">
        <f>+D23+F23</f>
        <v>342</v>
      </c>
      <c r="I23" s="95">
        <f>INT(765246*1.1)</f>
        <v>841770</v>
      </c>
      <c r="J23" s="95">
        <f>-24998*1.1</f>
        <v>-27497.800000000003</v>
      </c>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2"/>
      <c r="BS23" s="182"/>
      <c r="BT23" s="182"/>
      <c r="BU23" s="182"/>
      <c r="BV23" s="182"/>
      <c r="BW23" s="182"/>
      <c r="BX23" s="182"/>
      <c r="BY23" s="182"/>
      <c r="BZ23" s="182"/>
      <c r="CA23" s="182"/>
      <c r="CB23" s="182"/>
      <c r="CC23" s="182"/>
      <c r="CD23" s="182"/>
      <c r="CE23" s="182"/>
      <c r="CF23" s="182"/>
      <c r="CG23" s="182"/>
      <c r="CH23" s="182"/>
      <c r="CI23" s="182"/>
      <c r="CJ23" s="182"/>
      <c r="CK23" s="182"/>
      <c r="CL23" s="182"/>
      <c r="CM23" s="182"/>
      <c r="CN23" s="182"/>
      <c r="CO23" s="182"/>
      <c r="CP23" s="182"/>
      <c r="CQ23" s="182"/>
      <c r="CR23" s="182"/>
      <c r="CS23" s="182"/>
      <c r="CT23" s="182"/>
      <c r="CU23" s="182"/>
      <c r="CV23" s="182"/>
      <c r="CW23" s="182"/>
      <c r="CX23" s="182"/>
      <c r="CY23" s="182"/>
      <c r="CZ23" s="182"/>
      <c r="DA23" s="182"/>
      <c r="DB23" s="182"/>
      <c r="DC23" s="182"/>
      <c r="DD23" s="182"/>
    </row>
    <row r="24" spans="1:108" s="16" customFormat="1" ht="19.5" customHeight="1" x14ac:dyDescent="0.15">
      <c r="A24" s="70" t="s">
        <v>28</v>
      </c>
      <c r="B24" s="110">
        <v>46193</v>
      </c>
      <c r="C24" s="146"/>
      <c r="D24" s="95"/>
      <c r="E24" s="95"/>
      <c r="F24" s="95"/>
      <c r="G24" s="95"/>
      <c r="H24" s="95"/>
      <c r="I24" s="95"/>
      <c r="J24" s="95"/>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82"/>
      <c r="BL24" s="182"/>
      <c r="BM24" s="182"/>
      <c r="BN24" s="182"/>
      <c r="BO24" s="182"/>
      <c r="BP24" s="182"/>
      <c r="BQ24" s="182"/>
      <c r="BR24" s="182"/>
      <c r="BS24" s="182"/>
      <c r="BT24" s="182"/>
      <c r="BU24" s="182"/>
      <c r="BV24" s="182"/>
      <c r="BW24" s="182"/>
      <c r="BX24" s="182"/>
      <c r="BY24" s="182"/>
      <c r="BZ24" s="182"/>
      <c r="CA24" s="182"/>
      <c r="CB24" s="182"/>
      <c r="CC24" s="182"/>
      <c r="CD24" s="182"/>
      <c r="CE24" s="182"/>
      <c r="CF24" s="182"/>
      <c r="CG24" s="182"/>
      <c r="CH24" s="182"/>
      <c r="CI24" s="182"/>
      <c r="CJ24" s="182"/>
      <c r="CK24" s="182"/>
      <c r="CL24" s="182"/>
      <c r="CM24" s="182"/>
      <c r="CN24" s="182"/>
      <c r="CO24" s="182"/>
      <c r="CP24" s="182"/>
      <c r="CQ24" s="182"/>
      <c r="CR24" s="182"/>
      <c r="CS24" s="182"/>
      <c r="CT24" s="182"/>
      <c r="CU24" s="182"/>
      <c r="CV24" s="182"/>
      <c r="CW24" s="182"/>
      <c r="CX24" s="182"/>
      <c r="CY24" s="182"/>
      <c r="CZ24" s="182"/>
      <c r="DA24" s="182"/>
      <c r="DB24" s="182"/>
      <c r="DC24" s="182"/>
      <c r="DD24" s="182"/>
    </row>
    <row r="25" spans="1:108" s="16" customFormat="1" ht="19.5" customHeight="1" x14ac:dyDescent="0.15">
      <c r="A25" s="83" t="s">
        <v>29</v>
      </c>
      <c r="B25" s="82">
        <v>46194</v>
      </c>
      <c r="C25" s="176"/>
      <c r="D25" s="78"/>
      <c r="E25" s="78"/>
      <c r="F25" s="78"/>
      <c r="G25" s="78"/>
      <c r="H25" s="78"/>
      <c r="I25" s="78"/>
      <c r="J25" s="78"/>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2"/>
      <c r="BS25" s="182"/>
      <c r="BT25" s="182"/>
      <c r="BU25" s="182"/>
      <c r="BV25" s="182"/>
      <c r="BW25" s="182"/>
      <c r="BX25" s="182"/>
      <c r="BY25" s="182"/>
      <c r="BZ25" s="182"/>
      <c r="CA25" s="182"/>
      <c r="CB25" s="182"/>
      <c r="CC25" s="182"/>
      <c r="CD25" s="182"/>
      <c r="CE25" s="182"/>
      <c r="CF25" s="182"/>
      <c r="CG25" s="182"/>
      <c r="CH25" s="182"/>
      <c r="CI25" s="182"/>
      <c r="CJ25" s="182"/>
      <c r="CK25" s="182"/>
      <c r="CL25" s="182"/>
      <c r="CM25" s="182"/>
      <c r="CN25" s="182"/>
      <c r="CO25" s="182"/>
      <c r="CP25" s="182"/>
      <c r="CQ25" s="182"/>
      <c r="CR25" s="182"/>
      <c r="CS25" s="182"/>
      <c r="CT25" s="182"/>
      <c r="CU25" s="182"/>
      <c r="CV25" s="182"/>
      <c r="CW25" s="182"/>
      <c r="CX25" s="182"/>
      <c r="CY25" s="182"/>
      <c r="CZ25" s="182"/>
      <c r="DA25" s="182"/>
      <c r="DB25" s="182"/>
      <c r="DC25" s="182"/>
      <c r="DD25" s="182"/>
    </row>
    <row r="26" spans="1:108" s="16" customFormat="1" ht="19.5" customHeight="1" x14ac:dyDescent="0.15">
      <c r="A26" s="70" t="s">
        <v>30</v>
      </c>
      <c r="B26" s="110">
        <v>46195</v>
      </c>
      <c r="C26" s="146"/>
      <c r="D26" s="95"/>
      <c r="E26" s="95"/>
      <c r="F26" s="95"/>
      <c r="G26" s="95"/>
      <c r="H26" s="95"/>
      <c r="I26" s="95"/>
      <c r="J26" s="95"/>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c r="BR26" s="182"/>
      <c r="BS26" s="182"/>
      <c r="BT26" s="182"/>
      <c r="BU26" s="182"/>
      <c r="BV26" s="182"/>
      <c r="BW26" s="182"/>
      <c r="BX26" s="182"/>
      <c r="BY26" s="182"/>
      <c r="BZ26" s="182"/>
      <c r="CA26" s="182"/>
      <c r="CB26" s="182"/>
      <c r="CC26" s="182"/>
      <c r="CD26" s="182"/>
      <c r="CE26" s="182"/>
      <c r="CF26" s="182"/>
      <c r="CG26" s="182"/>
      <c r="CH26" s="182"/>
      <c r="CI26" s="182"/>
      <c r="CJ26" s="182"/>
      <c r="CK26" s="182"/>
      <c r="CL26" s="182"/>
      <c r="CM26" s="182"/>
      <c r="CN26" s="182"/>
      <c r="CO26" s="182"/>
      <c r="CP26" s="182"/>
      <c r="CQ26" s="182"/>
      <c r="CR26" s="182"/>
      <c r="CS26" s="182"/>
      <c r="CT26" s="182"/>
      <c r="CU26" s="182"/>
      <c r="CV26" s="182"/>
      <c r="CW26" s="182"/>
      <c r="CX26" s="182"/>
      <c r="CY26" s="182"/>
      <c r="CZ26" s="182"/>
      <c r="DA26" s="182"/>
      <c r="DB26" s="182"/>
      <c r="DC26" s="182"/>
      <c r="DD26" s="182"/>
    </row>
    <row r="27" spans="1:108" s="16" customFormat="1" ht="19.5" customHeight="1" x14ac:dyDescent="0.15">
      <c r="A27" s="70" t="s">
        <v>31</v>
      </c>
      <c r="B27" s="110">
        <v>46196</v>
      </c>
      <c r="C27" s="146"/>
      <c r="D27" s="95"/>
      <c r="E27" s="95"/>
      <c r="F27" s="95"/>
      <c r="G27" s="95"/>
      <c r="H27" s="95"/>
      <c r="I27" s="95"/>
      <c r="J27" s="95"/>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2"/>
      <c r="BA27" s="182"/>
      <c r="BB27" s="182"/>
      <c r="BC27" s="182"/>
      <c r="BD27" s="182"/>
      <c r="BE27" s="182"/>
      <c r="BF27" s="182"/>
      <c r="BG27" s="182"/>
      <c r="BH27" s="182"/>
      <c r="BI27" s="182"/>
      <c r="BJ27" s="182"/>
      <c r="BK27" s="182"/>
      <c r="BL27" s="182"/>
      <c r="BM27" s="182"/>
      <c r="BN27" s="182"/>
      <c r="BO27" s="182"/>
      <c r="BP27" s="182"/>
      <c r="BQ27" s="182"/>
      <c r="BR27" s="182"/>
      <c r="BS27" s="182"/>
      <c r="BT27" s="182"/>
      <c r="BU27" s="182"/>
      <c r="BV27" s="182"/>
      <c r="BW27" s="182"/>
      <c r="BX27" s="182"/>
      <c r="BY27" s="182"/>
      <c r="BZ27" s="182"/>
      <c r="CA27" s="182"/>
      <c r="CB27" s="182"/>
      <c r="CC27" s="182"/>
      <c r="CD27" s="182"/>
      <c r="CE27" s="182"/>
      <c r="CF27" s="182"/>
      <c r="CG27" s="182"/>
      <c r="CH27" s="182"/>
      <c r="CI27" s="182"/>
      <c r="CJ27" s="182"/>
      <c r="CK27" s="182"/>
      <c r="CL27" s="182"/>
      <c r="CM27" s="182"/>
      <c r="CN27" s="182"/>
      <c r="CO27" s="182"/>
      <c r="CP27" s="182"/>
      <c r="CQ27" s="182"/>
      <c r="CR27" s="182"/>
      <c r="CS27" s="182"/>
      <c r="CT27" s="182"/>
      <c r="CU27" s="182"/>
      <c r="CV27" s="182"/>
      <c r="CW27" s="182"/>
      <c r="CX27" s="182"/>
      <c r="CY27" s="182"/>
      <c r="CZ27" s="182"/>
      <c r="DA27" s="182"/>
      <c r="DB27" s="182"/>
      <c r="DC27" s="182"/>
      <c r="DD27" s="182"/>
    </row>
    <row r="28" spans="1:108" s="16" customFormat="1" ht="19.5" customHeight="1" x14ac:dyDescent="0.15">
      <c r="A28" s="70" t="s">
        <v>32</v>
      </c>
      <c r="B28" s="110">
        <v>46197</v>
      </c>
      <c r="C28" s="146" t="s">
        <v>196</v>
      </c>
      <c r="D28" s="95">
        <v>151</v>
      </c>
      <c r="E28" s="95">
        <f>723212*1.1</f>
        <v>795533.20000000007</v>
      </c>
      <c r="F28" s="95">
        <v>236</v>
      </c>
      <c r="G28" s="95">
        <f>804962*1.1</f>
        <v>885458.20000000007</v>
      </c>
      <c r="H28" s="95">
        <v>387</v>
      </c>
      <c r="I28" s="95">
        <f>INT(773065*1.1)</f>
        <v>850371</v>
      </c>
      <c r="J28" s="95">
        <f>-7630*1.1</f>
        <v>-8393</v>
      </c>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c r="AY28" s="182"/>
      <c r="AZ28" s="182"/>
      <c r="BA28" s="182"/>
      <c r="BB28" s="182"/>
      <c r="BC28" s="182"/>
      <c r="BD28" s="182"/>
      <c r="BE28" s="182"/>
      <c r="BF28" s="182"/>
      <c r="BG28" s="182"/>
      <c r="BH28" s="182"/>
      <c r="BI28" s="182"/>
      <c r="BJ28" s="182"/>
      <c r="BK28" s="182"/>
      <c r="BL28" s="182"/>
      <c r="BM28" s="182"/>
      <c r="BN28" s="182"/>
      <c r="BO28" s="182"/>
      <c r="BP28" s="182"/>
      <c r="BQ28" s="182"/>
      <c r="BR28" s="182"/>
      <c r="BS28" s="182"/>
      <c r="BT28" s="182"/>
      <c r="BU28" s="182"/>
      <c r="BV28" s="182"/>
      <c r="BW28" s="182"/>
      <c r="BX28" s="182"/>
      <c r="BY28" s="182"/>
      <c r="BZ28" s="182"/>
      <c r="CA28" s="182"/>
      <c r="CB28" s="182"/>
      <c r="CC28" s="182"/>
      <c r="CD28" s="182"/>
      <c r="CE28" s="182"/>
      <c r="CF28" s="182"/>
      <c r="CG28" s="182"/>
      <c r="CH28" s="182"/>
      <c r="CI28" s="182"/>
      <c r="CJ28" s="182"/>
      <c r="CK28" s="182"/>
      <c r="CL28" s="182"/>
      <c r="CM28" s="182"/>
      <c r="CN28" s="182"/>
      <c r="CO28" s="182"/>
      <c r="CP28" s="182"/>
      <c r="CQ28" s="182"/>
      <c r="CR28" s="182"/>
      <c r="CS28" s="182"/>
      <c r="CT28" s="182"/>
      <c r="CU28" s="182"/>
      <c r="CV28" s="182"/>
      <c r="CW28" s="182"/>
      <c r="CX28" s="182"/>
      <c r="CY28" s="182"/>
      <c r="CZ28" s="182"/>
      <c r="DA28" s="182"/>
      <c r="DB28" s="182"/>
      <c r="DC28" s="182"/>
      <c r="DD28" s="182"/>
    </row>
    <row r="29" spans="1:108" s="16" customFormat="1" ht="19.5" customHeight="1" x14ac:dyDescent="0.15">
      <c r="A29" s="70" t="s">
        <v>33</v>
      </c>
      <c r="B29" s="110">
        <v>46198</v>
      </c>
      <c r="C29" s="146" t="s">
        <v>196</v>
      </c>
      <c r="D29" s="95">
        <v>163</v>
      </c>
      <c r="E29" s="95">
        <f>721926*1.1</f>
        <v>794118.60000000009</v>
      </c>
      <c r="F29" s="95">
        <v>250</v>
      </c>
      <c r="G29" s="95">
        <f>797656*1.1</f>
        <v>877421.60000000009</v>
      </c>
      <c r="H29" s="95">
        <v>413</v>
      </c>
      <c r="I29" s="95">
        <f>767768*1.1</f>
        <v>844544.8</v>
      </c>
      <c r="J29" s="95">
        <f>-12927*1.1</f>
        <v>-14219.7</v>
      </c>
      <c r="L29" s="182"/>
      <c r="M29" s="182"/>
      <c r="N29" s="182"/>
      <c r="O29" s="182"/>
      <c r="P29" s="182"/>
      <c r="Q29" s="182"/>
      <c r="R29" s="182"/>
      <c r="S29" s="182"/>
      <c r="T29" s="182"/>
      <c r="U29" s="182"/>
      <c r="V29" s="182"/>
      <c r="W29" s="182"/>
      <c r="X29" s="182"/>
      <c r="Y29" s="182"/>
      <c r="Z29" s="182"/>
      <c r="AA29" s="182"/>
      <c r="AB29" s="182"/>
      <c r="AC29" s="182"/>
      <c r="AD29" s="182"/>
      <c r="AE29" s="182"/>
      <c r="AF29" s="182"/>
      <c r="AG29" s="182"/>
      <c r="AH29" s="182"/>
      <c r="AI29" s="182"/>
      <c r="AJ29" s="182"/>
      <c r="AK29" s="182"/>
      <c r="AL29" s="182"/>
      <c r="AM29" s="182"/>
      <c r="AN29" s="182"/>
      <c r="AO29" s="182"/>
      <c r="AP29" s="182"/>
      <c r="AQ29" s="182"/>
      <c r="AR29" s="182"/>
      <c r="AS29" s="182"/>
      <c r="AT29" s="182"/>
      <c r="AU29" s="182"/>
      <c r="AV29" s="182"/>
      <c r="AW29" s="182"/>
      <c r="AX29" s="182"/>
      <c r="AY29" s="182"/>
      <c r="AZ29" s="182"/>
      <c r="BA29" s="182"/>
      <c r="BB29" s="182"/>
      <c r="BC29" s="182"/>
      <c r="BD29" s="182"/>
      <c r="BE29" s="182"/>
      <c r="BF29" s="182"/>
      <c r="BG29" s="182"/>
      <c r="BH29" s="182"/>
      <c r="BI29" s="182"/>
      <c r="BJ29" s="182"/>
      <c r="BK29" s="182"/>
      <c r="BL29" s="182"/>
      <c r="BM29" s="182"/>
      <c r="BN29" s="182"/>
      <c r="BO29" s="182"/>
      <c r="BP29" s="182"/>
      <c r="BQ29" s="182"/>
      <c r="BR29" s="182"/>
      <c r="BS29" s="182"/>
      <c r="BT29" s="182"/>
      <c r="BU29" s="182"/>
      <c r="BV29" s="182"/>
      <c r="BW29" s="182"/>
      <c r="BX29" s="182"/>
      <c r="BY29" s="182"/>
      <c r="BZ29" s="182"/>
      <c r="CA29" s="182"/>
      <c r="CB29" s="182"/>
      <c r="CC29" s="182"/>
      <c r="CD29" s="182"/>
      <c r="CE29" s="182"/>
      <c r="CF29" s="182"/>
      <c r="CG29" s="182"/>
      <c r="CH29" s="182"/>
      <c r="CI29" s="182"/>
      <c r="CJ29" s="182"/>
      <c r="CK29" s="182"/>
      <c r="CL29" s="182"/>
      <c r="CM29" s="182"/>
      <c r="CN29" s="182"/>
      <c r="CO29" s="182"/>
      <c r="CP29" s="182"/>
      <c r="CQ29" s="182"/>
      <c r="CR29" s="182"/>
      <c r="CS29" s="182"/>
      <c r="CT29" s="182"/>
      <c r="CU29" s="182"/>
      <c r="CV29" s="182"/>
      <c r="CW29" s="182"/>
      <c r="CX29" s="182"/>
      <c r="CY29" s="182"/>
      <c r="CZ29" s="182"/>
      <c r="DA29" s="182"/>
      <c r="DB29" s="182"/>
      <c r="DC29" s="182"/>
      <c r="DD29" s="182"/>
    </row>
    <row r="30" spans="1:108" s="16" customFormat="1" ht="19.5" customHeight="1" x14ac:dyDescent="0.15">
      <c r="A30" s="70" t="s">
        <v>34</v>
      </c>
      <c r="B30" s="110">
        <v>46199</v>
      </c>
      <c r="C30" s="146" t="s">
        <v>196</v>
      </c>
      <c r="D30" s="95">
        <v>156</v>
      </c>
      <c r="E30" s="95">
        <f>718968*1.1</f>
        <v>790864.8</v>
      </c>
      <c r="F30" s="95">
        <v>196</v>
      </c>
      <c r="G30" s="95">
        <f>791372*1.1</f>
        <v>870509.20000000007</v>
      </c>
      <c r="H30" s="95">
        <v>352</v>
      </c>
      <c r="I30" s="95">
        <f>759284*1.1</f>
        <v>835212.4</v>
      </c>
      <c r="J30" s="95">
        <f>-21411*1.1</f>
        <v>-23552.100000000002</v>
      </c>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c r="AY30" s="182"/>
      <c r="AZ30" s="182"/>
      <c r="BA30" s="182"/>
      <c r="BB30" s="182"/>
      <c r="BC30" s="182"/>
      <c r="BD30" s="182"/>
      <c r="BE30" s="182"/>
      <c r="BF30" s="182"/>
      <c r="BG30" s="182"/>
      <c r="BH30" s="182"/>
      <c r="BI30" s="182"/>
      <c r="BJ30" s="182"/>
      <c r="BK30" s="182"/>
      <c r="BL30" s="182"/>
      <c r="BM30" s="182"/>
      <c r="BN30" s="182"/>
      <c r="BO30" s="182"/>
      <c r="BP30" s="182"/>
      <c r="BQ30" s="182"/>
      <c r="BR30" s="182"/>
      <c r="BS30" s="182"/>
      <c r="BT30" s="182"/>
      <c r="BU30" s="182"/>
      <c r="BV30" s="182"/>
      <c r="BW30" s="182"/>
      <c r="BX30" s="182"/>
      <c r="BY30" s="182"/>
      <c r="BZ30" s="182"/>
      <c r="CA30" s="182"/>
      <c r="CB30" s="182"/>
      <c r="CC30" s="182"/>
      <c r="CD30" s="182"/>
      <c r="CE30" s="182"/>
      <c r="CF30" s="182"/>
      <c r="CG30" s="182"/>
      <c r="CH30" s="182"/>
      <c r="CI30" s="182"/>
      <c r="CJ30" s="182"/>
      <c r="CK30" s="182"/>
      <c r="CL30" s="182"/>
      <c r="CM30" s="182"/>
      <c r="CN30" s="182"/>
      <c r="CO30" s="182"/>
      <c r="CP30" s="182"/>
      <c r="CQ30" s="182"/>
      <c r="CR30" s="182"/>
      <c r="CS30" s="182"/>
      <c r="CT30" s="182"/>
      <c r="CU30" s="182"/>
      <c r="CV30" s="182"/>
      <c r="CW30" s="182"/>
      <c r="CX30" s="182"/>
      <c r="CY30" s="182"/>
      <c r="CZ30" s="182"/>
      <c r="DA30" s="182"/>
      <c r="DB30" s="182"/>
      <c r="DC30" s="182"/>
      <c r="DD30" s="182"/>
    </row>
    <row r="31" spans="1:108" s="16" customFormat="1" ht="19.5" customHeight="1" x14ac:dyDescent="0.15">
      <c r="A31" s="70" t="s">
        <v>35</v>
      </c>
      <c r="B31" s="110">
        <v>46200</v>
      </c>
      <c r="C31" s="177"/>
      <c r="D31" s="95"/>
      <c r="E31" s="95"/>
      <c r="F31" s="95"/>
      <c r="G31" s="95"/>
      <c r="H31" s="95"/>
      <c r="I31" s="95"/>
      <c r="J31" s="95"/>
      <c r="L31" s="182"/>
      <c r="M31" s="184"/>
      <c r="N31" s="182"/>
      <c r="O31" s="182"/>
      <c r="P31" s="182"/>
      <c r="Q31" s="182"/>
      <c r="R31" s="184"/>
      <c r="S31" s="182"/>
      <c r="T31" s="182"/>
      <c r="U31" s="182"/>
      <c r="V31" s="182"/>
      <c r="W31" s="182"/>
      <c r="X31" s="182"/>
      <c r="Y31" s="182"/>
      <c r="Z31" s="182"/>
      <c r="AA31" s="182"/>
      <c r="AB31" s="182"/>
      <c r="AC31" s="182"/>
      <c r="AD31" s="182"/>
      <c r="AE31" s="182"/>
      <c r="AF31" s="182"/>
      <c r="AG31" s="182"/>
      <c r="AH31" s="182"/>
      <c r="AI31" s="182"/>
      <c r="AJ31" s="182"/>
      <c r="AK31" s="182"/>
      <c r="AL31" s="182"/>
      <c r="AM31" s="182"/>
      <c r="AN31" s="182"/>
      <c r="AO31" s="182"/>
      <c r="AP31" s="182"/>
      <c r="AQ31" s="182"/>
      <c r="AR31" s="182"/>
      <c r="AS31" s="182"/>
      <c r="AT31" s="182"/>
      <c r="AU31" s="182"/>
      <c r="AV31" s="182"/>
      <c r="AW31" s="182"/>
      <c r="AX31" s="182"/>
      <c r="AY31" s="182"/>
      <c r="AZ31" s="182"/>
      <c r="BA31" s="182"/>
      <c r="BB31" s="182"/>
      <c r="BC31" s="182"/>
      <c r="BD31" s="182"/>
      <c r="BE31" s="182"/>
      <c r="BF31" s="182"/>
      <c r="BG31" s="182"/>
      <c r="BH31" s="182"/>
      <c r="BI31" s="182"/>
      <c r="BJ31" s="182"/>
      <c r="BK31" s="182"/>
      <c r="BL31" s="182"/>
      <c r="BM31" s="182"/>
      <c r="BN31" s="182"/>
      <c r="BO31" s="182"/>
      <c r="BP31" s="182"/>
      <c r="BQ31" s="182"/>
      <c r="BR31" s="182"/>
      <c r="BS31" s="182"/>
      <c r="BT31" s="182"/>
      <c r="BU31" s="182"/>
      <c r="BV31" s="182"/>
      <c r="BW31" s="182"/>
      <c r="BX31" s="182"/>
      <c r="BY31" s="182"/>
      <c r="BZ31" s="182"/>
      <c r="CA31" s="182"/>
      <c r="CB31" s="182"/>
      <c r="CC31" s="182"/>
      <c r="CD31" s="182"/>
      <c r="CE31" s="182"/>
      <c r="CF31" s="182"/>
      <c r="CG31" s="182"/>
      <c r="CH31" s="182"/>
      <c r="CI31" s="182"/>
      <c r="CJ31" s="182"/>
      <c r="CK31" s="182"/>
      <c r="CL31" s="182"/>
      <c r="CM31" s="182"/>
      <c r="CN31" s="182"/>
      <c r="CO31" s="182"/>
      <c r="CP31" s="182"/>
      <c r="CQ31" s="182"/>
      <c r="CR31" s="182"/>
      <c r="CS31" s="182"/>
      <c r="CT31" s="182"/>
      <c r="CU31" s="182"/>
      <c r="CV31" s="182"/>
      <c r="CW31" s="182"/>
      <c r="CX31" s="182"/>
      <c r="CY31" s="182"/>
      <c r="CZ31" s="182"/>
      <c r="DA31" s="182"/>
      <c r="DB31" s="182"/>
      <c r="DC31" s="182"/>
      <c r="DD31" s="182"/>
    </row>
    <row r="32" spans="1:108" s="16" customFormat="1" ht="19.5" customHeight="1" x14ac:dyDescent="0.15">
      <c r="A32" s="83" t="s">
        <v>36</v>
      </c>
      <c r="B32" s="82">
        <v>46201</v>
      </c>
      <c r="C32" s="145"/>
      <c r="D32" s="78"/>
      <c r="E32" s="78"/>
      <c r="F32" s="78"/>
      <c r="G32" s="78"/>
      <c r="H32" s="78"/>
      <c r="I32" s="78"/>
      <c r="J32" s="78"/>
      <c r="L32" s="182"/>
      <c r="M32" s="185"/>
      <c r="N32" s="185"/>
      <c r="O32" s="185"/>
      <c r="P32" s="185"/>
      <c r="Q32" s="185"/>
      <c r="R32" s="185"/>
      <c r="S32" s="185"/>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2"/>
      <c r="BF32" s="182"/>
      <c r="BG32" s="182"/>
      <c r="BH32" s="182"/>
      <c r="BI32" s="182"/>
      <c r="BJ32" s="182"/>
      <c r="BK32" s="182"/>
      <c r="BL32" s="182"/>
      <c r="BM32" s="182"/>
      <c r="BN32" s="182"/>
      <c r="BO32" s="182"/>
      <c r="BP32" s="182"/>
      <c r="BQ32" s="182"/>
      <c r="BR32" s="182"/>
      <c r="BS32" s="182"/>
      <c r="BT32" s="182"/>
      <c r="BU32" s="182"/>
      <c r="BV32" s="182"/>
      <c r="BW32" s="182"/>
      <c r="BX32" s="182"/>
      <c r="BY32" s="182"/>
      <c r="BZ32" s="182"/>
      <c r="CA32" s="182"/>
      <c r="CB32" s="182"/>
      <c r="CC32" s="182"/>
      <c r="CD32" s="182"/>
      <c r="CE32" s="182"/>
      <c r="CF32" s="182"/>
      <c r="CG32" s="182"/>
      <c r="CH32" s="182"/>
      <c r="CI32" s="182"/>
      <c r="CJ32" s="182"/>
      <c r="CK32" s="182"/>
      <c r="CL32" s="182"/>
      <c r="CM32" s="182"/>
      <c r="CN32" s="182"/>
      <c r="CO32" s="182"/>
      <c r="CP32" s="182"/>
      <c r="CQ32" s="182"/>
      <c r="CR32" s="182"/>
      <c r="CS32" s="182"/>
      <c r="CT32" s="182"/>
      <c r="CU32" s="182"/>
      <c r="CV32" s="182"/>
      <c r="CW32" s="182"/>
      <c r="CX32" s="182"/>
      <c r="CY32" s="182"/>
      <c r="CZ32" s="182"/>
      <c r="DA32" s="182"/>
      <c r="DB32" s="182"/>
      <c r="DC32" s="182"/>
      <c r="DD32" s="182"/>
    </row>
    <row r="33" spans="1:108" s="16" customFormat="1" ht="19.5" customHeight="1" x14ac:dyDescent="0.15">
      <c r="A33" s="70" t="s">
        <v>37</v>
      </c>
      <c r="B33" s="110">
        <v>46202</v>
      </c>
      <c r="C33" s="177"/>
      <c r="D33" s="95"/>
      <c r="E33" s="95"/>
      <c r="F33" s="95"/>
      <c r="G33" s="95"/>
      <c r="H33" s="95"/>
      <c r="I33" s="95"/>
      <c r="J33" s="95"/>
      <c r="L33" s="182"/>
      <c r="M33" s="182"/>
      <c r="N33" s="182"/>
      <c r="O33" s="182"/>
      <c r="P33" s="182"/>
      <c r="Q33" s="185"/>
      <c r="R33" s="185"/>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2"/>
      <c r="BC33" s="182"/>
      <c r="BD33" s="182"/>
      <c r="BE33" s="182"/>
      <c r="BF33" s="182"/>
      <c r="BG33" s="182"/>
      <c r="BH33" s="182"/>
      <c r="BI33" s="182"/>
      <c r="BJ33" s="182"/>
      <c r="BK33" s="182"/>
      <c r="BL33" s="182"/>
      <c r="BM33" s="182"/>
      <c r="BN33" s="182"/>
      <c r="BO33" s="182"/>
      <c r="BP33" s="182"/>
      <c r="BQ33" s="182"/>
      <c r="BR33" s="182"/>
      <c r="BS33" s="182"/>
      <c r="BT33" s="182"/>
      <c r="BU33" s="182"/>
      <c r="BV33" s="182"/>
      <c r="BW33" s="182"/>
      <c r="BX33" s="182"/>
      <c r="BY33" s="182"/>
      <c r="BZ33" s="182"/>
      <c r="CA33" s="182"/>
      <c r="CB33" s="182"/>
      <c r="CC33" s="182"/>
      <c r="CD33" s="182"/>
      <c r="CE33" s="182"/>
      <c r="CF33" s="182"/>
      <c r="CG33" s="182"/>
      <c r="CH33" s="182"/>
      <c r="CI33" s="182"/>
      <c r="CJ33" s="182"/>
      <c r="CK33" s="182"/>
      <c r="CL33" s="182"/>
      <c r="CM33" s="182"/>
      <c r="CN33" s="182"/>
      <c r="CO33" s="182"/>
      <c r="CP33" s="182"/>
      <c r="CQ33" s="182"/>
      <c r="CR33" s="182"/>
      <c r="CS33" s="182"/>
      <c r="CT33" s="182"/>
      <c r="CU33" s="182"/>
      <c r="CV33" s="182"/>
      <c r="CW33" s="182"/>
      <c r="CX33" s="182"/>
      <c r="CY33" s="182"/>
      <c r="CZ33" s="182"/>
      <c r="DA33" s="182"/>
      <c r="DB33" s="182"/>
      <c r="DC33" s="182"/>
      <c r="DD33" s="182"/>
    </row>
    <row r="34" spans="1:108" s="16" customFormat="1" ht="19.5" customHeight="1" x14ac:dyDescent="0.15">
      <c r="A34" s="70" t="s">
        <v>38</v>
      </c>
      <c r="B34" s="110">
        <v>46203</v>
      </c>
      <c r="C34" s="146"/>
      <c r="D34" s="95"/>
      <c r="E34" s="95"/>
      <c r="F34" s="95"/>
      <c r="G34" s="95"/>
      <c r="H34" s="95"/>
      <c r="I34" s="95"/>
      <c r="J34" s="95"/>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2"/>
      <c r="BC34" s="182"/>
      <c r="BD34" s="182"/>
      <c r="BE34" s="182"/>
      <c r="BF34" s="182"/>
      <c r="BG34" s="182"/>
      <c r="BH34" s="182"/>
      <c r="BI34" s="182"/>
      <c r="BJ34" s="182"/>
      <c r="BK34" s="182"/>
      <c r="BL34" s="182"/>
      <c r="BM34" s="182"/>
      <c r="BN34" s="182"/>
      <c r="BO34" s="182"/>
      <c r="BP34" s="182"/>
      <c r="BQ34" s="182"/>
      <c r="BR34" s="182"/>
      <c r="BS34" s="182"/>
      <c r="BT34" s="182"/>
      <c r="BU34" s="182"/>
      <c r="BV34" s="182"/>
      <c r="BW34" s="182"/>
      <c r="BX34" s="182"/>
      <c r="BY34" s="182"/>
      <c r="BZ34" s="182"/>
      <c r="CA34" s="182"/>
      <c r="CB34" s="182"/>
      <c r="CC34" s="182"/>
      <c r="CD34" s="182"/>
      <c r="CE34" s="182"/>
      <c r="CF34" s="182"/>
      <c r="CG34" s="182"/>
      <c r="CH34" s="182"/>
      <c r="CI34" s="182"/>
      <c r="CJ34" s="182"/>
      <c r="CK34" s="182"/>
      <c r="CL34" s="182"/>
      <c r="CM34" s="182"/>
      <c r="CN34" s="182"/>
      <c r="CO34" s="182"/>
      <c r="CP34" s="182"/>
      <c r="CQ34" s="182"/>
      <c r="CR34" s="182"/>
      <c r="CS34" s="182"/>
      <c r="CT34" s="182"/>
      <c r="CU34" s="182"/>
      <c r="CV34" s="182"/>
      <c r="CW34" s="182"/>
      <c r="CX34" s="182"/>
      <c r="CY34" s="182"/>
      <c r="CZ34" s="182"/>
      <c r="DA34" s="182"/>
      <c r="DB34" s="182"/>
      <c r="DC34" s="182"/>
      <c r="DD34" s="182"/>
    </row>
    <row r="35" spans="1:108" s="16" customFormat="1" ht="19.5" customHeight="1" x14ac:dyDescent="0.15">
      <c r="A35" s="219" t="s">
        <v>40</v>
      </c>
      <c r="B35" s="220"/>
      <c r="C35" s="146"/>
      <c r="D35" s="100">
        <f>SUM(D5:D34)</f>
        <v>2190</v>
      </c>
      <c r="E35" s="100">
        <f>AVERAGE(E5:E34)</f>
        <v>767442.28</v>
      </c>
      <c r="F35" s="100">
        <f>SUM(F5:F34)</f>
        <v>2774</v>
      </c>
      <c r="G35" s="100">
        <f>AVERAGE(G5:G34)</f>
        <v>889900.2933333331</v>
      </c>
      <c r="H35" s="100">
        <f>SUM(H5:H34)</f>
        <v>4964</v>
      </c>
      <c r="I35" s="95">
        <f>SUMPRODUCT(H4:H34,I4:I34)/H35</f>
        <v>834769.02401289286</v>
      </c>
      <c r="J35" s="100"/>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2"/>
      <c r="BS35" s="182"/>
      <c r="BT35" s="182"/>
      <c r="BU35" s="182"/>
      <c r="BV35" s="182"/>
      <c r="BW35" s="182"/>
      <c r="BX35" s="182"/>
      <c r="BY35" s="182"/>
      <c r="BZ35" s="182"/>
      <c r="CA35" s="182"/>
      <c r="CB35" s="182"/>
      <c r="CC35" s="182"/>
      <c r="CD35" s="182"/>
      <c r="CE35" s="182"/>
      <c r="CF35" s="182"/>
      <c r="CG35" s="182"/>
      <c r="CH35" s="182"/>
      <c r="CI35" s="182"/>
      <c r="CJ35" s="182"/>
      <c r="CK35" s="182"/>
      <c r="CL35" s="182"/>
      <c r="CM35" s="182"/>
      <c r="CN35" s="182"/>
      <c r="CO35" s="182"/>
      <c r="CP35" s="182"/>
      <c r="CQ35" s="182"/>
      <c r="CR35" s="182"/>
      <c r="CS35" s="182"/>
      <c r="CT35" s="182"/>
      <c r="CU35" s="182"/>
      <c r="CV35" s="182"/>
      <c r="CW35" s="182"/>
      <c r="CX35" s="182"/>
      <c r="CY35" s="182"/>
      <c r="CZ35" s="182"/>
      <c r="DA35" s="182"/>
      <c r="DB35" s="182"/>
      <c r="DC35" s="182"/>
      <c r="DD35" s="182"/>
    </row>
    <row r="36" spans="1:108" s="16" customFormat="1" ht="12" customHeight="1" x14ac:dyDescent="0.15">
      <c r="B36" s="9"/>
      <c r="C36" s="186" t="s">
        <v>161</v>
      </c>
      <c r="D36" s="10"/>
      <c r="E36" s="10"/>
      <c r="F36" s="10"/>
      <c r="G36" s="10"/>
      <c r="H36" s="10" t="s">
        <v>109</v>
      </c>
      <c r="I36" s="10">
        <f>I35/1.1</f>
        <v>758880.9309208116</v>
      </c>
      <c r="J36" s="10"/>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2"/>
      <c r="CE36" s="182"/>
      <c r="CF36" s="182"/>
      <c r="CG36" s="182"/>
      <c r="CH36" s="182"/>
      <c r="CI36" s="182"/>
      <c r="CJ36" s="182"/>
      <c r="CK36" s="182"/>
      <c r="CL36" s="182"/>
      <c r="CM36" s="182"/>
      <c r="CN36" s="182"/>
      <c r="CO36" s="182"/>
      <c r="CP36" s="182"/>
      <c r="CQ36" s="182"/>
      <c r="CR36" s="182"/>
      <c r="CS36" s="182"/>
      <c r="CT36" s="182"/>
      <c r="CU36" s="182"/>
      <c r="CV36" s="182"/>
      <c r="CW36" s="182"/>
      <c r="CX36" s="182"/>
      <c r="CY36" s="182"/>
      <c r="CZ36" s="182"/>
      <c r="DA36" s="182"/>
      <c r="DB36" s="182"/>
      <c r="DC36" s="182"/>
      <c r="DD36" s="182"/>
    </row>
    <row r="37" spans="1:108" s="16" customFormat="1" ht="13.9" customHeight="1" x14ac:dyDescent="0.15">
      <c r="B37" s="9"/>
      <c r="C37" s="106" t="s">
        <v>186</v>
      </c>
      <c r="D37" s="10"/>
      <c r="E37" s="10"/>
      <c r="F37" s="10"/>
      <c r="G37" s="10"/>
      <c r="H37" s="10"/>
      <c r="I37" s="10"/>
      <c r="J37" s="10"/>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2"/>
      <c r="BR37" s="182"/>
      <c r="BS37" s="182"/>
      <c r="BT37" s="182"/>
      <c r="BU37" s="182"/>
      <c r="BV37" s="182"/>
      <c r="BW37" s="182"/>
      <c r="BX37" s="182"/>
      <c r="BY37" s="182"/>
      <c r="BZ37" s="182"/>
      <c r="CA37" s="182"/>
      <c r="CB37" s="182"/>
      <c r="CC37" s="182"/>
      <c r="CD37" s="182"/>
      <c r="CE37" s="182"/>
      <c r="CF37" s="182"/>
      <c r="CG37" s="182"/>
      <c r="CH37" s="182"/>
      <c r="CI37" s="182"/>
      <c r="CJ37" s="182"/>
      <c r="CK37" s="182"/>
      <c r="CL37" s="182"/>
      <c r="CM37" s="182"/>
      <c r="CN37" s="182"/>
      <c r="CO37" s="182"/>
      <c r="CP37" s="182"/>
      <c r="CQ37" s="182"/>
      <c r="CR37" s="182"/>
      <c r="CS37" s="182"/>
      <c r="CT37" s="182"/>
      <c r="CU37" s="182"/>
      <c r="CV37" s="182"/>
      <c r="CW37" s="182"/>
      <c r="CX37" s="182"/>
      <c r="CY37" s="182"/>
      <c r="CZ37" s="182"/>
      <c r="DA37" s="182"/>
      <c r="DB37" s="182"/>
      <c r="DC37" s="182"/>
      <c r="DD37" s="182"/>
    </row>
    <row r="38" spans="1:108" s="16" customFormat="1" ht="13.9" customHeight="1" thickBot="1" x14ac:dyDescent="0.2">
      <c r="B38" s="9"/>
      <c r="C38" s="9"/>
      <c r="D38" s="10"/>
      <c r="E38" s="10"/>
      <c r="F38" s="10"/>
      <c r="G38" s="10"/>
      <c r="H38" s="10"/>
      <c r="I38" s="10"/>
      <c r="J38" s="10"/>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row>
    <row r="39" spans="1:108" ht="13.9" customHeight="1" thickTop="1" thickBot="1" x14ac:dyDescent="0.2">
      <c r="A39" s="16"/>
      <c r="B39" s="9"/>
      <c r="C39" s="9"/>
      <c r="D39" s="16"/>
      <c r="E39" s="187"/>
      <c r="F39" s="187"/>
      <c r="G39" s="187"/>
      <c r="H39" s="224" t="s">
        <v>100</v>
      </c>
      <c r="I39" s="225"/>
      <c r="J39" s="187"/>
    </row>
    <row r="40" spans="1:108" ht="14.25" thickTop="1" x14ac:dyDescent="0.15">
      <c r="A40" s="16"/>
      <c r="B40" s="186"/>
      <c r="C40" s="9"/>
      <c r="D40" s="188"/>
      <c r="E40" s="187"/>
      <c r="F40" s="187"/>
      <c r="G40" s="16"/>
      <c r="H40" s="189" t="s">
        <v>99</v>
      </c>
      <c r="I40" s="190" t="s">
        <v>148</v>
      </c>
      <c r="J40" s="16"/>
    </row>
    <row r="41" spans="1:108" x14ac:dyDescent="0.15">
      <c r="A41" s="16"/>
      <c r="B41" s="9"/>
      <c r="C41" s="9"/>
      <c r="D41" s="188"/>
      <c r="E41" s="187"/>
      <c r="F41" s="187"/>
      <c r="G41" s="191"/>
      <c r="H41" s="192" t="s">
        <v>98</v>
      </c>
      <c r="I41" s="193">
        <f>I35</f>
        <v>834769.02401289286</v>
      </c>
      <c r="J41" s="187"/>
    </row>
    <row r="42" spans="1:108" x14ac:dyDescent="0.15">
      <c r="A42" s="16"/>
      <c r="B42" s="9"/>
      <c r="C42" s="9"/>
      <c r="D42" s="188"/>
      <c r="E42" s="187"/>
      <c r="F42" s="187"/>
      <c r="G42" s="194"/>
      <c r="H42" s="195" t="s">
        <v>44</v>
      </c>
      <c r="I42" s="196">
        <f>'5月'!I36</f>
        <v>858761.86928687198</v>
      </c>
      <c r="J42" s="187"/>
    </row>
    <row r="43" spans="1:108" ht="14.25" thickBot="1" x14ac:dyDescent="0.2">
      <c r="A43" s="16"/>
      <c r="B43" s="9"/>
      <c r="C43" s="9"/>
      <c r="D43" s="188"/>
      <c r="E43" s="187"/>
      <c r="F43" s="187"/>
      <c r="G43" s="187"/>
      <c r="H43" s="197" t="s">
        <v>45</v>
      </c>
      <c r="I43" s="198">
        <f>I41-I42</f>
        <v>-23992.845273979125</v>
      </c>
      <c r="J43" s="187"/>
    </row>
    <row r="44" spans="1:108" ht="15" thickTop="1" thickBot="1" x14ac:dyDescent="0.2">
      <c r="A44" s="16"/>
      <c r="B44" s="9"/>
      <c r="C44" s="9"/>
      <c r="D44" s="10"/>
      <c r="E44" s="10"/>
      <c r="F44" s="16"/>
      <c r="G44" s="16"/>
      <c r="H44" s="16"/>
      <c r="I44" s="16"/>
      <c r="J44" s="10"/>
    </row>
    <row r="45" spans="1:108" ht="15" thickTop="1" thickBot="1" x14ac:dyDescent="0.2">
      <c r="A45" s="16"/>
      <c r="B45" s="16"/>
      <c r="C45" s="16"/>
      <c r="D45" s="16"/>
      <c r="E45" s="16"/>
      <c r="F45" s="16"/>
      <c r="G45" s="16"/>
      <c r="H45" s="224" t="s">
        <v>101</v>
      </c>
      <c r="I45" s="225"/>
      <c r="J45" s="16"/>
    </row>
    <row r="46" spans="1:108" ht="14.25" thickTop="1" x14ac:dyDescent="0.15">
      <c r="A46" s="16"/>
      <c r="B46" s="16"/>
      <c r="C46" s="16"/>
      <c r="D46" s="16"/>
      <c r="E46" s="16"/>
      <c r="F46" s="16"/>
      <c r="G46" s="16"/>
      <c r="H46" s="189" t="s">
        <v>99</v>
      </c>
      <c r="I46" s="190" t="s">
        <v>148</v>
      </c>
      <c r="J46" s="16"/>
    </row>
    <row r="47" spans="1:108" x14ac:dyDescent="0.15">
      <c r="A47" s="16"/>
      <c r="B47" s="16"/>
      <c r="C47" s="16"/>
      <c r="D47" s="16"/>
      <c r="E47" s="16"/>
      <c r="F47" s="16"/>
      <c r="G47" s="16"/>
      <c r="H47" s="192" t="s">
        <v>98</v>
      </c>
      <c r="I47" s="193">
        <f>I41</f>
        <v>834769.02401289286</v>
      </c>
      <c r="J47" s="16"/>
    </row>
    <row r="48" spans="1:108" x14ac:dyDescent="0.15">
      <c r="A48" s="16"/>
      <c r="B48" s="16"/>
      <c r="C48" s="16"/>
      <c r="D48" s="16"/>
      <c r="E48" s="16"/>
      <c r="F48" s="16"/>
      <c r="G48" s="16"/>
      <c r="H48" s="195" t="s">
        <v>77</v>
      </c>
      <c r="I48" s="196">
        <f>SUM(価格推移グラフ!EU5)</f>
        <v>642903.72000385809</v>
      </c>
      <c r="J48" s="16"/>
    </row>
    <row r="49" spans="1:10" ht="14.25" thickBot="1" x14ac:dyDescent="0.2">
      <c r="A49" s="16"/>
      <c r="B49" s="16"/>
      <c r="C49" s="16"/>
      <c r="D49" s="16"/>
      <c r="E49" s="16"/>
      <c r="F49" s="16"/>
      <c r="G49" s="16"/>
      <c r="H49" s="197" t="s">
        <v>78</v>
      </c>
      <c r="I49" s="198">
        <f>I47-I48</f>
        <v>191865.30400903476</v>
      </c>
      <c r="J49" s="16"/>
    </row>
    <row r="50" spans="1:10" ht="14.25" thickTop="1" x14ac:dyDescent="0.15"/>
  </sheetData>
  <mergeCells count="10">
    <mergeCell ref="H45:I45"/>
    <mergeCell ref="H39:I39"/>
    <mergeCell ref="J3:J4"/>
    <mergeCell ref="A35:B35"/>
    <mergeCell ref="A3:A4"/>
    <mergeCell ref="B3:B4"/>
    <mergeCell ref="C3:C4"/>
    <mergeCell ref="D3:E3"/>
    <mergeCell ref="F3:G3"/>
    <mergeCell ref="H3:I3"/>
  </mergeCells>
  <phoneticPr fontId="1"/>
  <pageMargins left="0.7" right="0.7" top="0.75" bottom="0.75" header="0.3" footer="0.3"/>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N50"/>
  <sheetViews>
    <sheetView zoomScaleNormal="100" workbookViewId="0">
      <selection activeCell="M38" sqref="M38"/>
    </sheetView>
  </sheetViews>
  <sheetFormatPr defaultColWidth="8.875" defaultRowHeight="13.5" x14ac:dyDescent="0.15"/>
  <cols>
    <col min="1" max="1" width="7.375" style="16" customWidth="1"/>
    <col min="2" max="2" width="9" style="16"/>
    <col min="3" max="3" width="11.75" style="16" customWidth="1"/>
    <col min="4" max="6" width="9" style="16"/>
    <col min="7" max="7" width="9.25" style="16" bestFit="1" customWidth="1"/>
    <col min="8" max="8" width="9" style="16"/>
    <col min="9" max="9" width="11.25" style="16" bestFit="1" customWidth="1"/>
    <col min="10" max="10" width="9.625" style="16" bestFit="1" customWidth="1"/>
    <col min="11" max="11" width="10.5" style="180" bestFit="1" customWidth="1"/>
    <col min="12" max="14" width="8.875" style="180"/>
    <col min="15" max="16384" width="8.875" style="182"/>
  </cols>
  <sheetData>
    <row r="1" spans="1:10" ht="20.100000000000001" customHeight="1" x14ac:dyDescent="0.15">
      <c r="A1" s="58" t="s">
        <v>155</v>
      </c>
      <c r="B1" s="103"/>
      <c r="C1" s="118" t="s">
        <v>46</v>
      </c>
      <c r="D1" s="104"/>
      <c r="E1" s="105" t="s">
        <v>41</v>
      </c>
      <c r="F1" s="104"/>
      <c r="G1" s="10"/>
      <c r="H1" s="10"/>
      <c r="I1" s="10" t="s">
        <v>42</v>
      </c>
      <c r="J1" s="10"/>
    </row>
    <row r="2" spans="1:10" ht="20.100000000000001" customHeight="1" x14ac:dyDescent="0.15">
      <c r="B2" s="9"/>
      <c r="C2" s="9"/>
      <c r="D2" s="10"/>
      <c r="E2" s="10"/>
      <c r="F2" s="10"/>
      <c r="G2" s="10"/>
      <c r="H2" s="10"/>
      <c r="I2" s="107" t="s">
        <v>43</v>
      </c>
      <c r="J2" s="10"/>
    </row>
    <row r="3" spans="1:10" ht="20.100000000000001" customHeight="1" x14ac:dyDescent="0.15">
      <c r="A3" s="250" t="s">
        <v>0</v>
      </c>
      <c r="B3" s="222" t="s">
        <v>1</v>
      </c>
      <c r="C3" s="222" t="s">
        <v>2</v>
      </c>
      <c r="D3" s="221" t="s">
        <v>5</v>
      </c>
      <c r="E3" s="221"/>
      <c r="F3" s="221" t="s">
        <v>6</v>
      </c>
      <c r="G3" s="221"/>
      <c r="H3" s="221" t="s">
        <v>7</v>
      </c>
      <c r="I3" s="221"/>
      <c r="J3" s="221" t="s">
        <v>8</v>
      </c>
    </row>
    <row r="4" spans="1:10" ht="20.100000000000001" customHeight="1" x14ac:dyDescent="0.15">
      <c r="A4" s="251"/>
      <c r="B4" s="222"/>
      <c r="C4" s="222"/>
      <c r="D4" s="99" t="s">
        <v>3</v>
      </c>
      <c r="E4" s="99" t="s">
        <v>4</v>
      </c>
      <c r="F4" s="99" t="s">
        <v>3</v>
      </c>
      <c r="G4" s="99" t="s">
        <v>4</v>
      </c>
      <c r="H4" s="99" t="s">
        <v>3</v>
      </c>
      <c r="I4" s="99" t="s">
        <v>4</v>
      </c>
      <c r="J4" s="221"/>
    </row>
    <row r="5" spans="1:10" ht="20.100000000000001" customHeight="1" x14ac:dyDescent="0.15">
      <c r="A5" s="70" t="s">
        <v>9</v>
      </c>
      <c r="B5" s="110">
        <v>46204</v>
      </c>
      <c r="C5" s="143" t="s">
        <v>208</v>
      </c>
      <c r="D5" s="95">
        <v>181</v>
      </c>
      <c r="E5" s="95">
        <f>665464*1.1</f>
        <v>732010.4</v>
      </c>
      <c r="F5" s="95">
        <v>207</v>
      </c>
      <c r="G5" s="95">
        <f>782478*1.1</f>
        <v>860725.8</v>
      </c>
      <c r="H5" s="95">
        <v>388</v>
      </c>
      <c r="I5" s="95">
        <f>727892*1.1</f>
        <v>800681.20000000007</v>
      </c>
      <c r="J5" s="95">
        <f>-34875*1.1</f>
        <v>-38362.5</v>
      </c>
    </row>
    <row r="6" spans="1:10" ht="20.100000000000001" customHeight="1" x14ac:dyDescent="0.15">
      <c r="A6" s="70" t="s">
        <v>10</v>
      </c>
      <c r="B6" s="110">
        <v>46205</v>
      </c>
      <c r="C6" s="143" t="s">
        <v>164</v>
      </c>
      <c r="D6" s="95">
        <v>79</v>
      </c>
      <c r="E6" s="95">
        <f>664000*1.1</f>
        <v>730400.00000000012</v>
      </c>
      <c r="F6" s="95">
        <v>121</v>
      </c>
      <c r="G6" s="95">
        <f>756686*1.1</f>
        <v>832354.60000000009</v>
      </c>
      <c r="H6" s="95">
        <v>200</v>
      </c>
      <c r="I6" s="95">
        <f>720075*1.1</f>
        <v>792082.50000000012</v>
      </c>
      <c r="J6" s="95">
        <f>-43610*1.1</f>
        <v>-47971.000000000007</v>
      </c>
    </row>
    <row r="7" spans="1:10" ht="20.100000000000001" customHeight="1" x14ac:dyDescent="0.15">
      <c r="A7" s="70" t="s">
        <v>11</v>
      </c>
      <c r="B7" s="110">
        <v>46206</v>
      </c>
      <c r="C7" s="143" t="s">
        <v>165</v>
      </c>
      <c r="D7" s="95">
        <v>62</v>
      </c>
      <c r="E7" s="95">
        <f>665984*1.1</f>
        <v>732582.40000000002</v>
      </c>
      <c r="F7" s="95">
        <v>69</v>
      </c>
      <c r="G7" s="95">
        <f>780348*1.1</f>
        <v>858382.8</v>
      </c>
      <c r="H7" s="95">
        <v>131</v>
      </c>
      <c r="I7" s="95">
        <f>726221*1.1</f>
        <v>798843.10000000009</v>
      </c>
      <c r="J7" s="95">
        <f>-37463*1.1</f>
        <v>-41209.300000000003</v>
      </c>
    </row>
    <row r="8" spans="1:10" ht="20.100000000000001" customHeight="1" x14ac:dyDescent="0.15">
      <c r="A8" s="70" t="s">
        <v>12</v>
      </c>
      <c r="B8" s="110">
        <v>46207</v>
      </c>
      <c r="C8" s="146" t="s">
        <v>166</v>
      </c>
      <c r="D8" s="95">
        <v>182</v>
      </c>
      <c r="E8" s="95">
        <f>686132*1.1</f>
        <v>754745.20000000007</v>
      </c>
      <c r="F8" s="95">
        <v>228</v>
      </c>
      <c r="G8" s="95">
        <f>782605*1.1</f>
        <v>860865.50000000012</v>
      </c>
      <c r="H8" s="95">
        <v>410</v>
      </c>
      <c r="I8" s="95">
        <f>739780*1.1</f>
        <v>813758.00000000012</v>
      </c>
      <c r="J8" s="95">
        <f>-3151*1.1</f>
        <v>-3466.1000000000004</v>
      </c>
    </row>
    <row r="9" spans="1:10" ht="20.100000000000001" customHeight="1" x14ac:dyDescent="0.15">
      <c r="A9" s="83" t="s">
        <v>13</v>
      </c>
      <c r="B9" s="82">
        <v>46208</v>
      </c>
      <c r="C9" s="145" t="s">
        <v>209</v>
      </c>
      <c r="D9" s="78">
        <v>98</v>
      </c>
      <c r="E9" s="78">
        <f>683969*1.1</f>
        <v>752365.9</v>
      </c>
      <c r="F9" s="78">
        <v>110</v>
      </c>
      <c r="G9" s="78">
        <f>798200*1.1</f>
        <v>878020.00000000012</v>
      </c>
      <c r="H9" s="78">
        <v>208</v>
      </c>
      <c r="I9" s="78">
        <f>744380*1.1</f>
        <v>818818.00000000012</v>
      </c>
      <c r="J9" s="78">
        <f>1448*1.1</f>
        <v>1592.8000000000002</v>
      </c>
    </row>
    <row r="10" spans="1:10" ht="20.100000000000001" customHeight="1" x14ac:dyDescent="0.15">
      <c r="A10" s="109" t="s">
        <v>14</v>
      </c>
      <c r="B10" s="110">
        <v>46209</v>
      </c>
      <c r="C10" s="171" t="s">
        <v>233</v>
      </c>
      <c r="D10" s="95">
        <v>79</v>
      </c>
      <c r="E10" s="95">
        <f>679810*1.1</f>
        <v>747791.00000000012</v>
      </c>
      <c r="F10" s="95">
        <v>97</v>
      </c>
      <c r="G10" s="95">
        <f>783567*1.1</f>
        <v>861923.70000000007</v>
      </c>
      <c r="H10" s="95">
        <v>176</v>
      </c>
      <c r="I10" s="95">
        <f>736994*1.1</f>
        <v>810693.4</v>
      </c>
      <c r="J10" s="95">
        <f>-33098*1.1</f>
        <v>-36407.800000000003</v>
      </c>
    </row>
    <row r="11" spans="1:10" ht="23.45" customHeight="1" x14ac:dyDescent="0.15">
      <c r="A11" s="109" t="s">
        <v>14</v>
      </c>
      <c r="B11" s="110" t="s">
        <v>235</v>
      </c>
      <c r="C11" s="171" t="s">
        <v>234</v>
      </c>
      <c r="D11" s="95">
        <v>84</v>
      </c>
      <c r="E11" s="95">
        <f>648298*1.1</f>
        <v>713127.8</v>
      </c>
      <c r="F11" s="95">
        <v>85</v>
      </c>
      <c r="G11" s="95">
        <f>745718*1.1</f>
        <v>820289.8</v>
      </c>
      <c r="H11" s="95">
        <v>169</v>
      </c>
      <c r="I11" s="95">
        <f>697296*1.1</f>
        <v>767025.60000000009</v>
      </c>
      <c r="J11" s="95">
        <f>-47952*1.1</f>
        <v>-52747.200000000004</v>
      </c>
    </row>
    <row r="12" spans="1:10" ht="19.899999999999999" customHeight="1" x14ac:dyDescent="0.15">
      <c r="A12" s="70" t="s">
        <v>16</v>
      </c>
      <c r="B12" s="110">
        <v>46211</v>
      </c>
      <c r="C12" s="146" t="s">
        <v>171</v>
      </c>
      <c r="D12" s="95">
        <v>97</v>
      </c>
      <c r="E12" s="95">
        <f>720124*1.1</f>
        <v>792136.4</v>
      </c>
      <c r="F12" s="95">
        <v>137</v>
      </c>
      <c r="G12" s="95">
        <f>821876*1.1</f>
        <v>904063.60000000009</v>
      </c>
      <c r="H12" s="95">
        <v>234</v>
      </c>
      <c r="I12" s="95">
        <f>INT(779697*1.1)</f>
        <v>857666</v>
      </c>
      <c r="J12" s="95">
        <f>405*1.1</f>
        <v>445.50000000000006</v>
      </c>
    </row>
    <row r="13" spans="1:10" ht="19.5" customHeight="1" x14ac:dyDescent="0.15">
      <c r="A13" s="70" t="s">
        <v>17</v>
      </c>
      <c r="B13" s="110">
        <v>46212</v>
      </c>
      <c r="C13" s="146" t="s">
        <v>171</v>
      </c>
      <c r="D13" s="95">
        <v>95</v>
      </c>
      <c r="E13" s="95">
        <f>702558*1.1</f>
        <v>772813.8</v>
      </c>
      <c r="F13" s="95">
        <v>128</v>
      </c>
      <c r="G13" s="95">
        <f>817141*1.1</f>
        <v>898855.10000000009</v>
      </c>
      <c r="H13" s="95">
        <v>223</v>
      </c>
      <c r="I13" s="95">
        <f>INT(768327*1.1)</f>
        <v>845159</v>
      </c>
      <c r="J13" s="95">
        <f>-10965*1.1</f>
        <v>-12061.500000000002</v>
      </c>
    </row>
    <row r="14" spans="1:10" ht="19.5" customHeight="1" x14ac:dyDescent="0.15">
      <c r="A14" s="70" t="s">
        <v>18</v>
      </c>
      <c r="B14" s="110">
        <v>46213</v>
      </c>
      <c r="C14" s="140" t="s">
        <v>172</v>
      </c>
      <c r="D14" s="95">
        <v>84</v>
      </c>
      <c r="E14" s="95">
        <f>710893*1.1</f>
        <v>781982.3</v>
      </c>
      <c r="F14" s="95">
        <v>147</v>
      </c>
      <c r="G14" s="95">
        <f>822864*1.1</f>
        <v>905150.4</v>
      </c>
      <c r="H14" s="95">
        <v>231</v>
      </c>
      <c r="I14" s="95">
        <f>782147*1.1</f>
        <v>860361.70000000007</v>
      </c>
      <c r="J14" s="95">
        <f>18424*1.1</f>
        <v>20266.400000000001</v>
      </c>
    </row>
    <row r="15" spans="1:10" ht="20.100000000000001" customHeight="1" x14ac:dyDescent="0.15">
      <c r="A15" s="70" t="s">
        <v>19</v>
      </c>
      <c r="B15" s="110">
        <v>46214</v>
      </c>
      <c r="C15" s="146" t="s">
        <v>172</v>
      </c>
      <c r="D15" s="95">
        <v>125</v>
      </c>
      <c r="E15" s="95">
        <f>722616*1.1</f>
        <v>794877.60000000009</v>
      </c>
      <c r="F15" s="95">
        <v>126</v>
      </c>
      <c r="G15" s="95">
        <f>815365*1.1</f>
        <v>896901.50000000012</v>
      </c>
      <c r="H15" s="95">
        <v>251</v>
      </c>
      <c r="I15" s="95">
        <f>769175*1.1</f>
        <v>846092.50000000012</v>
      </c>
      <c r="J15" s="95">
        <f>5452*1.1</f>
        <v>5997.2000000000007</v>
      </c>
    </row>
    <row r="16" spans="1:10" ht="20.100000000000001" customHeight="1" x14ac:dyDescent="0.15">
      <c r="A16" s="83" t="s">
        <v>20</v>
      </c>
      <c r="B16" s="82">
        <v>46215</v>
      </c>
      <c r="C16" s="174"/>
      <c r="D16" s="78"/>
      <c r="E16" s="78"/>
      <c r="F16" s="78"/>
      <c r="G16" s="78"/>
      <c r="H16" s="78"/>
      <c r="I16" s="78"/>
      <c r="J16" s="78"/>
    </row>
    <row r="17" spans="1:11" ht="20.100000000000001" customHeight="1" x14ac:dyDescent="0.15">
      <c r="A17" s="70" t="s">
        <v>21</v>
      </c>
      <c r="B17" s="110">
        <v>46216</v>
      </c>
      <c r="C17" s="146"/>
      <c r="D17" s="95"/>
      <c r="E17" s="95"/>
      <c r="F17" s="95"/>
      <c r="G17" s="95"/>
      <c r="H17" s="95"/>
      <c r="I17" s="95"/>
      <c r="J17" s="95"/>
    </row>
    <row r="18" spans="1:11" ht="19.5" customHeight="1" x14ac:dyDescent="0.15">
      <c r="A18" s="70" t="s">
        <v>22</v>
      </c>
      <c r="B18" s="110">
        <v>46217</v>
      </c>
      <c r="C18" s="146" t="s">
        <v>175</v>
      </c>
      <c r="D18" s="199">
        <v>162</v>
      </c>
      <c r="E18" s="199">
        <f>678352*1.1</f>
        <v>746187.20000000007</v>
      </c>
      <c r="F18" s="199">
        <v>205</v>
      </c>
      <c r="G18" s="199">
        <f>790015*1.1</f>
        <v>869016.50000000012</v>
      </c>
      <c r="H18" s="199">
        <f>+D18+F18</f>
        <v>367</v>
      </c>
      <c r="I18" s="199">
        <f>INT(740725*1.1)</f>
        <v>814797</v>
      </c>
      <c r="J18" s="199">
        <f>-27786*1.1</f>
        <v>-30564.600000000002</v>
      </c>
    </row>
    <row r="19" spans="1:11" ht="19.5" customHeight="1" x14ac:dyDescent="0.15">
      <c r="A19" s="70" t="s">
        <v>23</v>
      </c>
      <c r="B19" s="110">
        <v>46218</v>
      </c>
      <c r="C19" s="203" t="s">
        <v>175</v>
      </c>
      <c r="D19" s="199">
        <v>147</v>
      </c>
      <c r="E19" s="199">
        <f>673694*1.1</f>
        <v>741063.4</v>
      </c>
      <c r="F19" s="199">
        <v>221</v>
      </c>
      <c r="G19" s="199">
        <f>827774*1.1</f>
        <v>910551.4</v>
      </c>
      <c r="H19" s="199">
        <v>368</v>
      </c>
      <c r="I19" s="199">
        <f>INT(766226*1.1)</f>
        <v>842848</v>
      </c>
      <c r="J19" s="199">
        <f>-2285*1.1</f>
        <v>-2513.5</v>
      </c>
    </row>
    <row r="20" spans="1:11" ht="20.100000000000001" customHeight="1" x14ac:dyDescent="0.15">
      <c r="A20" s="70" t="s">
        <v>24</v>
      </c>
      <c r="B20" s="110">
        <v>46219</v>
      </c>
      <c r="C20" s="146" t="s">
        <v>176</v>
      </c>
      <c r="D20" s="199">
        <v>188</v>
      </c>
      <c r="E20" s="199">
        <f>691527*1.1</f>
        <v>760679.70000000007</v>
      </c>
      <c r="F20" s="199">
        <v>175</v>
      </c>
      <c r="G20" s="199">
        <f>814800*1.1</f>
        <v>896280.00000000012</v>
      </c>
      <c r="H20" s="199">
        <v>363</v>
      </c>
      <c r="I20" s="199">
        <f>INT(750956*1.1)</f>
        <v>826051</v>
      </c>
      <c r="J20" s="199">
        <f>-17555*1.1</f>
        <v>-19310.5</v>
      </c>
    </row>
    <row r="21" spans="1:11" ht="20.100000000000001" customHeight="1" x14ac:dyDescent="0.15">
      <c r="A21" s="70" t="s">
        <v>25</v>
      </c>
      <c r="B21" s="110">
        <v>46220</v>
      </c>
      <c r="C21" s="146" t="s">
        <v>174</v>
      </c>
      <c r="D21" s="199">
        <v>132</v>
      </c>
      <c r="E21" s="199">
        <f>675886*1.1</f>
        <v>743474.60000000009</v>
      </c>
      <c r="F21" s="199">
        <v>169</v>
      </c>
      <c r="G21" s="199">
        <f>791041*1.1</f>
        <v>870145.10000000009</v>
      </c>
      <c r="H21" s="199">
        <v>301</v>
      </c>
      <c r="I21" s="199">
        <f>740542*1.1</f>
        <v>814596.20000000007</v>
      </c>
      <c r="J21" s="199">
        <f>-11373*1.1</f>
        <v>-12510.300000000001</v>
      </c>
    </row>
    <row r="22" spans="1:11" ht="20.100000000000001" customHeight="1" x14ac:dyDescent="0.15">
      <c r="A22" s="70" t="s">
        <v>26</v>
      </c>
      <c r="B22" s="110">
        <v>46221</v>
      </c>
      <c r="C22" s="146"/>
      <c r="D22" s="199"/>
      <c r="E22" s="199"/>
      <c r="F22" s="199"/>
      <c r="G22" s="199"/>
      <c r="H22" s="199"/>
      <c r="I22" s="199"/>
      <c r="J22" s="199"/>
    </row>
    <row r="23" spans="1:11" ht="20.100000000000001" customHeight="1" x14ac:dyDescent="0.15">
      <c r="A23" s="83" t="s">
        <v>27</v>
      </c>
      <c r="B23" s="82">
        <v>46222</v>
      </c>
      <c r="C23" s="174"/>
      <c r="D23" s="200"/>
      <c r="E23" s="200"/>
      <c r="F23" s="200"/>
      <c r="G23" s="200"/>
      <c r="H23" s="200"/>
      <c r="I23" s="200"/>
      <c r="J23" s="200"/>
    </row>
    <row r="24" spans="1:11" ht="20.100000000000001" customHeight="1" x14ac:dyDescent="0.15">
      <c r="A24" s="83" t="s">
        <v>28</v>
      </c>
      <c r="B24" s="82">
        <v>46223</v>
      </c>
      <c r="C24" s="169" t="s">
        <v>210</v>
      </c>
      <c r="D24" s="78"/>
      <c r="E24" s="78"/>
      <c r="F24" s="78"/>
      <c r="G24" s="78"/>
      <c r="H24" s="78"/>
      <c r="I24" s="78"/>
      <c r="J24" s="78"/>
    </row>
    <row r="25" spans="1:11" ht="20.100000000000001" customHeight="1" x14ac:dyDescent="0.15">
      <c r="A25" s="70" t="s">
        <v>29</v>
      </c>
      <c r="B25" s="110">
        <v>46224</v>
      </c>
      <c r="C25" s="204"/>
      <c r="D25" s="95"/>
      <c r="E25" s="95"/>
      <c r="F25" s="95"/>
      <c r="G25" s="95"/>
      <c r="H25" s="95"/>
      <c r="I25" s="95"/>
      <c r="J25" s="95"/>
    </row>
    <row r="26" spans="1:11" ht="20.100000000000001" customHeight="1" x14ac:dyDescent="0.15">
      <c r="A26" s="70" t="s">
        <v>30</v>
      </c>
      <c r="B26" s="110">
        <v>46225</v>
      </c>
      <c r="C26" s="177" t="s">
        <v>173</v>
      </c>
      <c r="D26" s="95">
        <v>199</v>
      </c>
      <c r="E26" s="95">
        <f>657829*1.1</f>
        <v>723611.9</v>
      </c>
      <c r="F26" s="95">
        <v>238</v>
      </c>
      <c r="G26" s="95">
        <f>776445*1.1</f>
        <v>854089.50000000012</v>
      </c>
      <c r="H26" s="95">
        <v>437</v>
      </c>
      <c r="I26" s="95">
        <f>722430*1.1</f>
        <v>794673.00000000012</v>
      </c>
      <c r="J26" s="95">
        <f>-691*1.1</f>
        <v>-760.1</v>
      </c>
    </row>
    <row r="27" spans="1:11" ht="20.100000000000001" customHeight="1" x14ac:dyDescent="0.15">
      <c r="A27" s="70" t="s">
        <v>31</v>
      </c>
      <c r="B27" s="110">
        <v>46226</v>
      </c>
      <c r="C27" s="146"/>
      <c r="D27" s="95"/>
      <c r="E27" s="95"/>
      <c r="F27" s="95"/>
      <c r="G27" s="95"/>
      <c r="H27" s="95"/>
      <c r="I27" s="95"/>
      <c r="J27" s="95"/>
    </row>
    <row r="28" spans="1:11" ht="20.100000000000001" customHeight="1" x14ac:dyDescent="0.15">
      <c r="A28" s="70" t="s">
        <v>32</v>
      </c>
      <c r="B28" s="110">
        <v>46227</v>
      </c>
      <c r="C28" s="177" t="s">
        <v>177</v>
      </c>
      <c r="D28" s="95">
        <v>89</v>
      </c>
      <c r="E28" s="95">
        <f>670449*1.1</f>
        <v>737493.9</v>
      </c>
      <c r="F28" s="95">
        <v>110</v>
      </c>
      <c r="G28" s="95">
        <f>765445*1.1</f>
        <v>841989.50000000012</v>
      </c>
      <c r="H28" s="95">
        <v>199</v>
      </c>
      <c r="I28" s="95">
        <f>722960*1.1</f>
        <v>795256.00000000012</v>
      </c>
      <c r="J28" s="95">
        <f>-55479*1.1</f>
        <v>-61026.9</v>
      </c>
    </row>
    <row r="29" spans="1:11" ht="20.100000000000001" customHeight="1" x14ac:dyDescent="0.15">
      <c r="A29" s="70" t="s">
        <v>33</v>
      </c>
      <c r="B29" s="110">
        <v>46228</v>
      </c>
      <c r="C29" s="205"/>
      <c r="D29" s="95"/>
      <c r="E29" s="95"/>
      <c r="F29" s="95"/>
      <c r="G29" s="95"/>
      <c r="H29" s="95"/>
      <c r="I29" s="95"/>
      <c r="J29" s="95"/>
    </row>
    <row r="30" spans="1:11" ht="20.100000000000001" customHeight="1" x14ac:dyDescent="0.15">
      <c r="A30" s="83" t="s">
        <v>34</v>
      </c>
      <c r="B30" s="82">
        <v>46229</v>
      </c>
      <c r="C30" s="145"/>
      <c r="D30" s="78"/>
      <c r="E30" s="78"/>
      <c r="F30" s="78"/>
      <c r="G30" s="78"/>
      <c r="H30" s="78"/>
      <c r="I30" s="78"/>
      <c r="J30" s="78"/>
      <c r="K30" s="165"/>
    </row>
    <row r="31" spans="1:11" ht="20.100000000000001" customHeight="1" x14ac:dyDescent="0.15">
      <c r="A31" s="70" t="s">
        <v>35</v>
      </c>
      <c r="B31" s="110">
        <v>46230</v>
      </c>
      <c r="C31" s="146" t="s">
        <v>178</v>
      </c>
      <c r="D31" s="95">
        <v>163</v>
      </c>
      <c r="E31" s="95">
        <f>679736*1.1</f>
        <v>747709.60000000009</v>
      </c>
      <c r="F31" s="95">
        <v>193</v>
      </c>
      <c r="G31" s="95">
        <f>787425*1.1</f>
        <v>866167.50000000012</v>
      </c>
      <c r="H31" s="95">
        <v>356</v>
      </c>
      <c r="I31" s="95">
        <f>738118*1.1</f>
        <v>811929.8</v>
      </c>
      <c r="J31" s="95">
        <f>-28143*1.1</f>
        <v>-30957.300000000003</v>
      </c>
    </row>
    <row r="32" spans="1:11" ht="20.100000000000001" customHeight="1" x14ac:dyDescent="0.15">
      <c r="A32" s="70" t="s">
        <v>36</v>
      </c>
      <c r="B32" s="110">
        <v>46231</v>
      </c>
      <c r="C32" s="146" t="s">
        <v>178</v>
      </c>
      <c r="D32" s="95">
        <v>156</v>
      </c>
      <c r="E32" s="95">
        <f>684282*1.1</f>
        <v>752710.20000000007</v>
      </c>
      <c r="F32" s="95">
        <v>234</v>
      </c>
      <c r="G32" s="95">
        <f>799808*1.1</f>
        <v>879788.8</v>
      </c>
      <c r="H32" s="95">
        <v>390</v>
      </c>
      <c r="I32" s="95">
        <f>INT(753597*1.1)</f>
        <v>828956</v>
      </c>
      <c r="J32" s="95">
        <f>-12664*1.1</f>
        <v>-13930.400000000001</v>
      </c>
    </row>
    <row r="33" spans="1:10" ht="20.100000000000001" customHeight="1" x14ac:dyDescent="0.15">
      <c r="A33" s="70" t="s">
        <v>37</v>
      </c>
      <c r="B33" s="110">
        <v>46232</v>
      </c>
      <c r="C33" s="146" t="s">
        <v>178</v>
      </c>
      <c r="D33" s="95">
        <v>137</v>
      </c>
      <c r="E33" s="95">
        <f>664175*1.1</f>
        <v>730592.50000000012</v>
      </c>
      <c r="F33" s="95">
        <v>200</v>
      </c>
      <c r="G33" s="95">
        <f>773285*1.1</f>
        <v>850613.50000000012</v>
      </c>
      <c r="H33" s="95">
        <v>337</v>
      </c>
      <c r="I33" s="95">
        <f>INT(728929*1.1)</f>
        <v>801821</v>
      </c>
      <c r="J33" s="95">
        <f>-37332*1.1</f>
        <v>-41065.200000000004</v>
      </c>
    </row>
    <row r="34" spans="1:10" ht="20.100000000000001" customHeight="1" x14ac:dyDescent="0.15">
      <c r="A34" s="70" t="s">
        <v>38</v>
      </c>
      <c r="B34" s="110">
        <v>46233</v>
      </c>
      <c r="C34" s="146"/>
      <c r="D34" s="95"/>
      <c r="E34" s="95"/>
      <c r="F34" s="95"/>
      <c r="G34" s="95"/>
      <c r="H34" s="95"/>
      <c r="I34" s="95"/>
      <c r="J34" s="95"/>
    </row>
    <row r="35" spans="1:10" ht="20.100000000000001" customHeight="1" x14ac:dyDescent="0.15">
      <c r="A35" s="70" t="s">
        <v>39</v>
      </c>
      <c r="B35" s="110">
        <v>46234</v>
      </c>
      <c r="C35" s="177" t="s">
        <v>179</v>
      </c>
      <c r="D35" s="95">
        <v>125</v>
      </c>
      <c r="E35" s="95">
        <f>656576*1.1</f>
        <v>722233.60000000009</v>
      </c>
      <c r="F35" s="95">
        <v>179</v>
      </c>
      <c r="G35" s="95">
        <f>808659*1.1</f>
        <v>889524.9</v>
      </c>
      <c r="H35" s="95">
        <v>304</v>
      </c>
      <c r="I35" s="95">
        <f>INT(746125*1.1)</f>
        <v>820737</v>
      </c>
      <c r="J35" s="95">
        <f>-439*1.1</f>
        <v>-482.90000000000003</v>
      </c>
    </row>
    <row r="36" spans="1:10" ht="20.100000000000001" customHeight="1" x14ac:dyDescent="0.15">
      <c r="A36" s="219" t="s">
        <v>60</v>
      </c>
      <c r="B36" s="220"/>
      <c r="C36" s="70"/>
      <c r="D36" s="100">
        <f>SUM(D5:D35)</f>
        <v>2664</v>
      </c>
      <c r="E36" s="100">
        <f>AVERAGE(E5:E35)</f>
        <v>748123.30476190464</v>
      </c>
      <c r="F36" s="100">
        <f>SUM(F5:F35)</f>
        <v>3379</v>
      </c>
      <c r="G36" s="100">
        <f>AVERAGE(G5:G35)</f>
        <v>871699.97619047621</v>
      </c>
      <c r="H36" s="100">
        <f>D36+F36</f>
        <v>6043</v>
      </c>
      <c r="I36" s="95">
        <f>SUMPRODUCT(H5:H35,I5:I35)/H36</f>
        <v>817823.06184014573</v>
      </c>
      <c r="J36" s="95"/>
    </row>
    <row r="37" spans="1:10" x14ac:dyDescent="0.15">
      <c r="B37" s="9"/>
      <c r="C37" s="186" t="s">
        <v>161</v>
      </c>
      <c r="D37" s="10"/>
      <c r="E37" s="10"/>
      <c r="F37" s="10"/>
      <c r="G37" s="10"/>
      <c r="H37" s="10" t="s">
        <v>109</v>
      </c>
      <c r="I37" s="10">
        <f>I36/1.1</f>
        <v>743475.51076376881</v>
      </c>
      <c r="J37" s="10"/>
    </row>
    <row r="38" spans="1:10" ht="14.25" thickBot="1" x14ac:dyDescent="0.2">
      <c r="B38" s="9"/>
      <c r="C38" s="106" t="s">
        <v>186</v>
      </c>
      <c r="D38" s="10"/>
      <c r="E38" s="10"/>
      <c r="F38" s="10"/>
      <c r="G38" s="10"/>
      <c r="H38" s="10"/>
      <c r="I38" s="10"/>
      <c r="J38" s="10"/>
    </row>
    <row r="39" spans="1:10" ht="13.15" customHeight="1" thickTop="1" thickBot="1" x14ac:dyDescent="0.2">
      <c r="B39" s="9"/>
      <c r="C39" s="9"/>
      <c r="E39" s="187"/>
      <c r="F39" s="187"/>
      <c r="G39" s="187"/>
      <c r="H39" s="224" t="s">
        <v>100</v>
      </c>
      <c r="I39" s="225"/>
      <c r="J39" s="187"/>
    </row>
    <row r="40" spans="1:10" ht="14.25" thickTop="1" x14ac:dyDescent="0.15">
      <c r="B40" s="9"/>
      <c r="C40" s="9"/>
      <c r="D40" s="188"/>
      <c r="E40" s="226"/>
      <c r="F40" s="226"/>
      <c r="H40" s="189" t="s">
        <v>99</v>
      </c>
      <c r="I40" s="190" t="s">
        <v>148</v>
      </c>
    </row>
    <row r="41" spans="1:10" x14ac:dyDescent="0.15">
      <c r="B41" s="9"/>
      <c r="C41" s="9"/>
      <c r="D41" s="188"/>
      <c r="E41" s="227"/>
      <c r="F41" s="227"/>
      <c r="G41" s="191"/>
      <c r="H41" s="192" t="s">
        <v>98</v>
      </c>
      <c r="I41" s="193">
        <f>I36</f>
        <v>817823.06184014573</v>
      </c>
      <c r="J41" s="187"/>
    </row>
    <row r="42" spans="1:10" x14ac:dyDescent="0.15">
      <c r="B42" s="9"/>
      <c r="C42" s="9"/>
      <c r="D42" s="188"/>
      <c r="E42" s="227"/>
      <c r="F42" s="227"/>
      <c r="G42" s="194"/>
      <c r="H42" s="195" t="s">
        <v>44</v>
      </c>
      <c r="I42" s="196">
        <f>'6月'!$I$35</f>
        <v>834769.02401289286</v>
      </c>
      <c r="J42" s="187"/>
    </row>
    <row r="43" spans="1:10" ht="14.25" thickBot="1" x14ac:dyDescent="0.2">
      <c r="B43" s="9"/>
      <c r="C43" s="9"/>
      <c r="D43" s="188"/>
      <c r="E43" s="227"/>
      <c r="F43" s="227"/>
      <c r="G43" s="187"/>
      <c r="H43" s="197" t="s">
        <v>45</v>
      </c>
      <c r="I43" s="198">
        <f>I41-I42</f>
        <v>-16945.962172747124</v>
      </c>
      <c r="J43" s="187"/>
    </row>
    <row r="44" spans="1:10" ht="15" thickTop="1" thickBot="1" x14ac:dyDescent="0.2">
      <c r="B44" s="9"/>
      <c r="C44" s="9"/>
      <c r="D44" s="10"/>
      <c r="E44" s="10"/>
      <c r="J44" s="10"/>
    </row>
    <row r="45" spans="1:10" ht="15" thickTop="1" thickBot="1" x14ac:dyDescent="0.2">
      <c r="H45" s="224" t="s">
        <v>101</v>
      </c>
      <c r="I45" s="225"/>
    </row>
    <row r="46" spans="1:10" ht="14.25" thickTop="1" x14ac:dyDescent="0.15">
      <c r="H46" s="189" t="s">
        <v>99</v>
      </c>
      <c r="I46" s="190" t="s">
        <v>148</v>
      </c>
    </row>
    <row r="47" spans="1:10" x14ac:dyDescent="0.15">
      <c r="H47" s="192" t="s">
        <v>98</v>
      </c>
      <c r="I47" s="193">
        <f>I41</f>
        <v>817823.06184014573</v>
      </c>
    </row>
    <row r="48" spans="1:10" x14ac:dyDescent="0.15">
      <c r="H48" s="195" t="s">
        <v>77</v>
      </c>
      <c r="I48" s="196">
        <f>SUM(価格推移グラフ!EV5)</f>
        <v>623908.60313594167</v>
      </c>
    </row>
    <row r="49" spans="8:9" ht="14.25" thickBot="1" x14ac:dyDescent="0.2">
      <c r="H49" s="197" t="s">
        <v>78</v>
      </c>
      <c r="I49" s="198">
        <f>I47-I48</f>
        <v>193914.45870420407</v>
      </c>
    </row>
    <row r="50" spans="8:9" ht="14.25" thickTop="1" x14ac:dyDescent="0.15"/>
  </sheetData>
  <mergeCells count="14">
    <mergeCell ref="H39:I39"/>
    <mergeCell ref="J3:J4"/>
    <mergeCell ref="F3:G3"/>
    <mergeCell ref="H3:I3"/>
    <mergeCell ref="A36:B36"/>
    <mergeCell ref="A3:A4"/>
    <mergeCell ref="B3:B4"/>
    <mergeCell ref="C3:C4"/>
    <mergeCell ref="D3:E3"/>
    <mergeCell ref="E40:F40"/>
    <mergeCell ref="E41:F41"/>
    <mergeCell ref="E42:F42"/>
    <mergeCell ref="E43:F43"/>
    <mergeCell ref="H45:I45"/>
  </mergeCells>
  <phoneticPr fontId="1"/>
  <pageMargins left="0.7" right="0.7" top="0.75" bottom="0.75" header="0.3" footer="0.3"/>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pageSetUpPr fitToPage="1"/>
  </sheetPr>
  <dimension ref="A1:CK50"/>
  <sheetViews>
    <sheetView zoomScaleNormal="100" workbookViewId="0">
      <selection activeCell="G30" sqref="G30"/>
    </sheetView>
  </sheetViews>
  <sheetFormatPr defaultColWidth="8.875" defaultRowHeight="13.5" x14ac:dyDescent="0.15"/>
  <cols>
    <col min="1" max="1" width="9" style="16" customWidth="1"/>
    <col min="2" max="2" width="9" style="16"/>
    <col min="3" max="3" width="9.875" style="16" customWidth="1"/>
    <col min="4" max="6" width="9" style="16"/>
    <col min="7" max="7" width="9.25" style="16" bestFit="1" customWidth="1"/>
    <col min="8" max="8" width="9" style="16"/>
    <col min="9" max="9" width="9" style="16" customWidth="1"/>
    <col min="10" max="10" width="9.625" style="16" bestFit="1" customWidth="1"/>
    <col min="11" max="13" width="10.5" style="182" bestFit="1" customWidth="1"/>
    <col min="14" max="16384" width="8.875" style="182"/>
  </cols>
  <sheetData>
    <row r="1" spans="1:13" ht="20.100000000000001" customHeight="1" x14ac:dyDescent="0.15">
      <c r="A1" s="58" t="s">
        <v>156</v>
      </c>
      <c r="B1" s="103"/>
      <c r="C1" s="118" t="s">
        <v>46</v>
      </c>
      <c r="D1" s="104"/>
      <c r="E1" s="105" t="s">
        <v>41</v>
      </c>
      <c r="F1" s="104"/>
      <c r="G1" s="10"/>
      <c r="H1" s="10"/>
      <c r="I1" s="10" t="s">
        <v>42</v>
      </c>
      <c r="J1" s="10"/>
    </row>
    <row r="2" spans="1:13" ht="20.100000000000001" customHeight="1" x14ac:dyDescent="0.15">
      <c r="B2" s="9"/>
      <c r="C2" s="9"/>
      <c r="D2" s="10"/>
      <c r="E2" s="10"/>
      <c r="F2" s="10"/>
      <c r="G2" s="10"/>
      <c r="H2" s="10"/>
      <c r="I2" s="107" t="s">
        <v>43</v>
      </c>
      <c r="J2" s="10"/>
    </row>
    <row r="3" spans="1:13" ht="20.100000000000001" customHeight="1" x14ac:dyDescent="0.15">
      <c r="A3" s="250" t="s">
        <v>0</v>
      </c>
      <c r="B3" s="222" t="s">
        <v>1</v>
      </c>
      <c r="C3" s="222" t="s">
        <v>2</v>
      </c>
      <c r="D3" s="221" t="s">
        <v>96</v>
      </c>
      <c r="E3" s="221"/>
      <c r="F3" s="221" t="s">
        <v>6</v>
      </c>
      <c r="G3" s="221"/>
      <c r="H3" s="221" t="s">
        <v>7</v>
      </c>
      <c r="I3" s="221"/>
      <c r="J3" s="221" t="s">
        <v>8</v>
      </c>
    </row>
    <row r="4" spans="1:13" ht="20.100000000000001" customHeight="1" x14ac:dyDescent="0.15">
      <c r="A4" s="251"/>
      <c r="B4" s="222"/>
      <c r="C4" s="222"/>
      <c r="D4" s="99" t="s">
        <v>3</v>
      </c>
      <c r="E4" s="99" t="s">
        <v>4</v>
      </c>
      <c r="F4" s="99" t="s">
        <v>3</v>
      </c>
      <c r="G4" s="99" t="s">
        <v>4</v>
      </c>
      <c r="H4" s="99" t="s">
        <v>3</v>
      </c>
      <c r="I4" s="99" t="s">
        <v>4</v>
      </c>
      <c r="J4" s="221"/>
    </row>
    <row r="5" spans="1:13" ht="20.100000000000001" customHeight="1" x14ac:dyDescent="0.15">
      <c r="A5" s="70" t="s">
        <v>9</v>
      </c>
      <c r="B5" s="110">
        <v>46235</v>
      </c>
      <c r="C5" s="146"/>
      <c r="D5" s="95"/>
      <c r="E5" s="95"/>
      <c r="F5" s="95"/>
      <c r="G5" s="95"/>
      <c r="H5" s="95"/>
      <c r="I5" s="95"/>
      <c r="J5" s="95"/>
      <c r="L5" s="184"/>
      <c r="M5" s="184"/>
    </row>
    <row r="6" spans="1:13" ht="20.100000000000001" customHeight="1" x14ac:dyDescent="0.15">
      <c r="A6" s="83" t="s">
        <v>113</v>
      </c>
      <c r="B6" s="82">
        <v>46236</v>
      </c>
      <c r="C6" s="174" t="s">
        <v>166</v>
      </c>
      <c r="D6" s="78">
        <v>187</v>
      </c>
      <c r="E6" s="78">
        <f>675160*1.1</f>
        <v>742676.00000000012</v>
      </c>
      <c r="F6" s="78">
        <v>245</v>
      </c>
      <c r="G6" s="78">
        <f>763143*1.1</f>
        <v>839457.3</v>
      </c>
      <c r="H6" s="78">
        <v>432</v>
      </c>
      <c r="I6" s="78">
        <f>INT(725058*1.1)</f>
        <v>797563</v>
      </c>
      <c r="J6" s="78">
        <f>-16271*1.1</f>
        <v>-17898.100000000002</v>
      </c>
    </row>
    <row r="7" spans="1:13" ht="20.100000000000001" customHeight="1" x14ac:dyDescent="0.15">
      <c r="A7" s="70" t="s">
        <v>91</v>
      </c>
      <c r="B7" s="110">
        <v>46237</v>
      </c>
      <c r="C7" s="146" t="s">
        <v>167</v>
      </c>
      <c r="D7" s="95">
        <v>113</v>
      </c>
      <c r="E7" s="95">
        <f>678460*1.1</f>
        <v>746306.00000000012</v>
      </c>
      <c r="F7" s="95">
        <v>126</v>
      </c>
      <c r="G7" s="95">
        <f>773381*1.1</f>
        <v>850719.10000000009</v>
      </c>
      <c r="H7" s="95">
        <v>239</v>
      </c>
      <c r="I7" s="95">
        <f>728502*1.1</f>
        <v>801352.20000000007</v>
      </c>
      <c r="J7" s="95">
        <f>-12826*1.1</f>
        <v>-14108.6</v>
      </c>
    </row>
    <row r="8" spans="1:13" ht="20.100000000000001" customHeight="1" x14ac:dyDescent="0.15">
      <c r="A8" s="70" t="s">
        <v>92</v>
      </c>
      <c r="B8" s="110">
        <v>46238</v>
      </c>
      <c r="C8" s="146" t="s">
        <v>171</v>
      </c>
      <c r="D8" s="95">
        <v>127</v>
      </c>
      <c r="E8" s="95">
        <f>700535*1.1</f>
        <v>770588.50000000012</v>
      </c>
      <c r="F8" s="95">
        <v>147</v>
      </c>
      <c r="G8" s="95">
        <f>794449*1.1</f>
        <v>873893.9</v>
      </c>
      <c r="H8" s="95">
        <v>274</v>
      </c>
      <c r="I8" s="95">
        <f>750920*1.1</f>
        <v>826012.00000000012</v>
      </c>
      <c r="J8" s="95">
        <f>-23229*1.1</f>
        <v>-25551.9</v>
      </c>
    </row>
    <row r="9" spans="1:13" ht="20.100000000000001" customHeight="1" x14ac:dyDescent="0.15">
      <c r="A9" s="70" t="s">
        <v>93</v>
      </c>
      <c r="B9" s="110">
        <v>46239</v>
      </c>
      <c r="C9" s="143" t="s">
        <v>171</v>
      </c>
      <c r="D9" s="95">
        <v>121</v>
      </c>
      <c r="E9" s="95">
        <f>684967*1.1</f>
        <v>753463.70000000007</v>
      </c>
      <c r="F9" s="95">
        <v>142</v>
      </c>
      <c r="G9" s="95">
        <f>794986*1.1</f>
        <v>874484.60000000009</v>
      </c>
      <c r="H9" s="95">
        <v>263</v>
      </c>
      <c r="I9" s="95">
        <f>INT(744369*1.1)</f>
        <v>818805</v>
      </c>
      <c r="J9" s="95">
        <f>-29780*1.1</f>
        <v>-32758.000000000004</v>
      </c>
    </row>
    <row r="10" spans="1:13" ht="20.100000000000001" customHeight="1" x14ac:dyDescent="0.15">
      <c r="A10" s="70" t="s">
        <v>87</v>
      </c>
      <c r="B10" s="110">
        <v>46240</v>
      </c>
      <c r="C10" s="146" t="s">
        <v>172</v>
      </c>
      <c r="D10" s="95">
        <v>110</v>
      </c>
      <c r="E10" s="95">
        <f>663173*1.1</f>
        <v>729490.3</v>
      </c>
      <c r="F10" s="95">
        <v>178</v>
      </c>
      <c r="G10" s="95">
        <f>796067*1.1</f>
        <v>875673.70000000007</v>
      </c>
      <c r="H10" s="95">
        <v>288</v>
      </c>
      <c r="I10" s="95">
        <f>INT(745309*1.1)</f>
        <v>819839</v>
      </c>
      <c r="J10" s="95">
        <f>-29990*1.1</f>
        <v>-32989</v>
      </c>
    </row>
    <row r="11" spans="1:13" ht="20.100000000000001" customHeight="1" x14ac:dyDescent="0.15">
      <c r="A11" s="70" t="s">
        <v>94</v>
      </c>
      <c r="B11" s="110">
        <v>46241</v>
      </c>
      <c r="C11" s="146" t="s">
        <v>172</v>
      </c>
      <c r="D11" s="95">
        <v>117</v>
      </c>
      <c r="E11" s="95">
        <f>661906*1.1</f>
        <v>728096.60000000009</v>
      </c>
      <c r="F11" s="95">
        <v>108</v>
      </c>
      <c r="G11" s="95">
        <f>778907*1.1</f>
        <v>856797.70000000007</v>
      </c>
      <c r="H11" s="95">
        <v>225</v>
      </c>
      <c r="I11" s="95">
        <f>INT(718067*1.1)</f>
        <v>789873</v>
      </c>
      <c r="J11" s="95">
        <f>-57325*1.1</f>
        <v>-63057.500000000007</v>
      </c>
    </row>
    <row r="12" spans="1:13" ht="20.100000000000001" customHeight="1" x14ac:dyDescent="0.15">
      <c r="A12" s="70" t="s">
        <v>88</v>
      </c>
      <c r="B12" s="110">
        <v>46242</v>
      </c>
      <c r="C12" s="146" t="s">
        <v>174</v>
      </c>
      <c r="D12" s="95">
        <v>125</v>
      </c>
      <c r="E12" s="95">
        <f>675096*1.1</f>
        <v>742605.60000000009</v>
      </c>
      <c r="F12" s="95">
        <v>125</v>
      </c>
      <c r="G12" s="95">
        <f>804064*1.1</f>
        <v>884470.4</v>
      </c>
      <c r="H12" s="95">
        <v>250</v>
      </c>
      <c r="I12" s="95">
        <f>739580*1.1</f>
        <v>813538.00000000012</v>
      </c>
      <c r="J12" s="95">
        <v>-1058</v>
      </c>
    </row>
    <row r="13" spans="1:13" ht="20.100000000000001" customHeight="1" x14ac:dyDescent="0.15">
      <c r="A13" s="83" t="s">
        <v>95</v>
      </c>
      <c r="B13" s="82">
        <v>46243</v>
      </c>
      <c r="C13" s="145"/>
      <c r="D13" s="78"/>
      <c r="E13" s="78"/>
      <c r="F13" s="78"/>
      <c r="G13" s="78"/>
      <c r="H13" s="78"/>
      <c r="I13" s="78"/>
      <c r="J13" s="78"/>
    </row>
    <row r="14" spans="1:13" ht="20.100000000000001" customHeight="1" x14ac:dyDescent="0.15">
      <c r="A14" s="70" t="s">
        <v>18</v>
      </c>
      <c r="B14" s="110">
        <v>46244</v>
      </c>
      <c r="C14" s="175"/>
      <c r="D14" s="95"/>
      <c r="E14" s="95"/>
      <c r="F14" s="95"/>
      <c r="G14" s="95"/>
      <c r="H14" s="95"/>
      <c r="I14" s="95"/>
      <c r="J14" s="95"/>
    </row>
    <row r="15" spans="1:13" ht="20.100000000000001" customHeight="1" x14ac:dyDescent="0.15">
      <c r="A15" s="83" t="s">
        <v>19</v>
      </c>
      <c r="B15" s="82">
        <v>46245</v>
      </c>
      <c r="C15" s="166" t="s">
        <v>211</v>
      </c>
      <c r="D15" s="78"/>
      <c r="E15" s="78"/>
      <c r="F15" s="78"/>
      <c r="G15" s="78"/>
      <c r="H15" s="78"/>
      <c r="I15" s="78"/>
      <c r="J15" s="78"/>
      <c r="K15" s="180"/>
      <c r="L15" s="180"/>
      <c r="M15" s="184"/>
    </row>
    <row r="16" spans="1:13" ht="20.100000000000001" customHeight="1" x14ac:dyDescent="0.15">
      <c r="A16" s="70" t="s">
        <v>20</v>
      </c>
      <c r="B16" s="110">
        <v>46246</v>
      </c>
      <c r="C16" s="206"/>
      <c r="D16" s="95"/>
      <c r="E16" s="95"/>
      <c r="F16" s="95"/>
      <c r="G16" s="95"/>
      <c r="H16" s="95"/>
      <c r="I16" s="95"/>
      <c r="J16" s="95"/>
    </row>
    <row r="17" spans="1:14" ht="20.100000000000001" customHeight="1" x14ac:dyDescent="0.15">
      <c r="A17" s="70" t="s">
        <v>21</v>
      </c>
      <c r="B17" s="110">
        <v>46247</v>
      </c>
      <c r="C17" s="175"/>
      <c r="D17" s="95"/>
      <c r="E17" s="95"/>
      <c r="F17" s="95"/>
      <c r="G17" s="95"/>
      <c r="H17" s="95"/>
      <c r="I17" s="95"/>
      <c r="J17" s="95"/>
    </row>
    <row r="18" spans="1:14" ht="20.100000000000001" customHeight="1" x14ac:dyDescent="0.15">
      <c r="A18" s="70" t="s">
        <v>22</v>
      </c>
      <c r="B18" s="110">
        <v>46248</v>
      </c>
      <c r="C18" s="146"/>
      <c r="D18" s="95"/>
      <c r="E18" s="95"/>
      <c r="F18" s="95"/>
      <c r="G18" s="95"/>
      <c r="H18" s="95"/>
      <c r="I18" s="95"/>
      <c r="J18" s="95"/>
    </row>
    <row r="19" spans="1:14" ht="20.100000000000001" customHeight="1" x14ac:dyDescent="0.15">
      <c r="A19" s="70" t="s">
        <v>23</v>
      </c>
      <c r="B19" s="110">
        <v>46249</v>
      </c>
      <c r="C19" s="146"/>
      <c r="D19" s="95"/>
      <c r="E19" s="95"/>
      <c r="F19" s="95"/>
      <c r="G19" s="95"/>
      <c r="H19" s="95"/>
      <c r="I19" s="95"/>
      <c r="J19" s="95"/>
    </row>
    <row r="20" spans="1:14" ht="20.100000000000001" customHeight="1" x14ac:dyDescent="0.15">
      <c r="A20" s="83" t="s">
        <v>24</v>
      </c>
      <c r="B20" s="82">
        <v>46250</v>
      </c>
      <c r="C20" s="145"/>
      <c r="D20" s="78"/>
      <c r="E20" s="78"/>
      <c r="F20" s="78"/>
      <c r="G20" s="78"/>
      <c r="H20" s="78"/>
      <c r="I20" s="78"/>
      <c r="J20" s="78"/>
    </row>
    <row r="21" spans="1:14" ht="20.100000000000001" customHeight="1" x14ac:dyDescent="0.15">
      <c r="A21" s="70" t="s">
        <v>25</v>
      </c>
      <c r="B21" s="110">
        <v>46251</v>
      </c>
      <c r="C21" s="146" t="s">
        <v>175</v>
      </c>
      <c r="D21" s="95">
        <v>174</v>
      </c>
      <c r="E21" s="95">
        <f>674443*1.1</f>
        <v>741887.3</v>
      </c>
      <c r="F21" s="95">
        <v>226</v>
      </c>
      <c r="G21" s="95">
        <f>807314*1.1</f>
        <v>888045.4</v>
      </c>
      <c r="H21" s="95">
        <v>400</v>
      </c>
      <c r="I21" s="95">
        <f>INT(749515*1.1)</f>
        <v>824466</v>
      </c>
      <c r="J21" s="95">
        <f>-3139*1.1</f>
        <v>-3452.9</v>
      </c>
    </row>
    <row r="22" spans="1:14" ht="20.100000000000001" customHeight="1" x14ac:dyDescent="0.15">
      <c r="A22" s="70" t="s">
        <v>26</v>
      </c>
      <c r="B22" s="110">
        <v>46252</v>
      </c>
      <c r="C22" s="146" t="s">
        <v>175</v>
      </c>
      <c r="D22" s="95">
        <v>175</v>
      </c>
      <c r="E22" s="95">
        <f>690954*1.1</f>
        <v>760049.4</v>
      </c>
      <c r="F22" s="95">
        <v>231</v>
      </c>
      <c r="G22" s="95">
        <f>810152*1.1</f>
        <v>891167.20000000007</v>
      </c>
      <c r="H22" s="95">
        <v>406</v>
      </c>
      <c r="I22" s="95">
        <f>758773*1.1</f>
        <v>834650.3</v>
      </c>
      <c r="J22" s="95">
        <f>6119*1.1</f>
        <v>6730.9000000000005</v>
      </c>
    </row>
    <row r="23" spans="1:14" ht="20.100000000000001" customHeight="1" x14ac:dyDescent="0.15">
      <c r="A23" s="70" t="s">
        <v>27</v>
      </c>
      <c r="B23" s="110">
        <v>46253</v>
      </c>
      <c r="C23" s="146" t="s">
        <v>176</v>
      </c>
      <c r="D23" s="95">
        <v>204</v>
      </c>
      <c r="E23" s="95">
        <f>652206*1.1</f>
        <v>717426.60000000009</v>
      </c>
      <c r="F23" s="95">
        <v>211</v>
      </c>
      <c r="G23" s="95">
        <f>794754*1.1</f>
        <v>874229.4</v>
      </c>
      <c r="H23" s="95">
        <v>415</v>
      </c>
      <c r="I23" s="95">
        <f>724682*1.1</f>
        <v>797150.20000000007</v>
      </c>
      <c r="J23" s="95">
        <f>-27972*1.1</f>
        <v>-30769.200000000001</v>
      </c>
      <c r="M23" s="216"/>
    </row>
    <row r="24" spans="1:14" ht="20.100000000000001" customHeight="1" x14ac:dyDescent="0.15">
      <c r="A24" s="70" t="s">
        <v>28</v>
      </c>
      <c r="B24" s="110">
        <v>46254</v>
      </c>
      <c r="C24" s="146"/>
      <c r="D24" s="95"/>
      <c r="E24" s="95"/>
      <c r="F24" s="95"/>
      <c r="G24" s="95"/>
      <c r="H24" s="95"/>
      <c r="I24" s="95"/>
      <c r="J24" s="95"/>
      <c r="N24" s="180"/>
    </row>
    <row r="25" spans="1:14" ht="20.100000000000001" customHeight="1" x14ac:dyDescent="0.15">
      <c r="A25" s="70" t="s">
        <v>29</v>
      </c>
      <c r="B25" s="110">
        <v>46255</v>
      </c>
      <c r="C25" s="175" t="s">
        <v>173</v>
      </c>
      <c r="D25" s="95">
        <v>162</v>
      </c>
      <c r="E25" s="95">
        <f>672685*1.1</f>
        <v>739953.50000000012</v>
      </c>
      <c r="F25" s="95">
        <v>233</v>
      </c>
      <c r="G25" s="95">
        <f>788554*1.1</f>
        <v>867409.4</v>
      </c>
      <c r="H25" s="95">
        <v>395</v>
      </c>
      <c r="I25" s="95">
        <f>741033*1.1</f>
        <v>815136.3</v>
      </c>
      <c r="J25" s="95">
        <f>18499*1.1</f>
        <v>20348.900000000001</v>
      </c>
      <c r="N25" s="180"/>
    </row>
    <row r="26" spans="1:14" ht="20.100000000000001" customHeight="1" x14ac:dyDescent="0.15">
      <c r="A26" s="70" t="s">
        <v>30</v>
      </c>
      <c r="B26" s="110">
        <v>46256</v>
      </c>
      <c r="C26" s="146"/>
      <c r="D26" s="95"/>
      <c r="E26" s="95"/>
      <c r="F26" s="95"/>
      <c r="G26" s="95"/>
      <c r="H26" s="95"/>
      <c r="I26" s="95"/>
      <c r="J26" s="95"/>
      <c r="M26" s="180"/>
    </row>
    <row r="27" spans="1:14" ht="20.100000000000001" customHeight="1" x14ac:dyDescent="0.15">
      <c r="A27" s="83" t="s">
        <v>31</v>
      </c>
      <c r="B27" s="82">
        <v>46257</v>
      </c>
      <c r="C27" s="145"/>
      <c r="D27" s="78"/>
      <c r="E27" s="78"/>
      <c r="F27" s="78"/>
      <c r="G27" s="78"/>
      <c r="H27" s="78"/>
      <c r="I27" s="78"/>
      <c r="J27" s="78"/>
    </row>
    <row r="28" spans="1:14" ht="20.100000000000001" customHeight="1" x14ac:dyDescent="0.15">
      <c r="A28" s="70" t="s">
        <v>32</v>
      </c>
      <c r="B28" s="110">
        <v>46258</v>
      </c>
      <c r="C28" s="146" t="s">
        <v>178</v>
      </c>
      <c r="D28" s="95">
        <v>147</v>
      </c>
      <c r="E28" s="95">
        <f>702014*1.1</f>
        <v>772215.4</v>
      </c>
      <c r="F28" s="95">
        <v>226</v>
      </c>
      <c r="G28" s="95">
        <f>808624*1.1</f>
        <v>889486.4</v>
      </c>
      <c r="H28" s="95">
        <v>373</v>
      </c>
      <c r="I28" s="95">
        <f>INT(766609*1.1)</f>
        <v>843269</v>
      </c>
      <c r="J28" s="95">
        <f>26582*1.1</f>
        <v>29240.2</v>
      </c>
    </row>
    <row r="29" spans="1:14" ht="20.100000000000001" customHeight="1" x14ac:dyDescent="0.15">
      <c r="A29" s="70" t="s">
        <v>33</v>
      </c>
      <c r="B29" s="110">
        <v>46259</v>
      </c>
      <c r="C29" s="146" t="s">
        <v>178</v>
      </c>
      <c r="D29" s="95">
        <v>159</v>
      </c>
      <c r="E29" s="95">
        <f>702535*1.1</f>
        <v>772788.50000000012</v>
      </c>
      <c r="F29" s="95">
        <v>248</v>
      </c>
      <c r="G29" s="95">
        <f>816645*1.1</f>
        <v>898309.50000000012</v>
      </c>
      <c r="H29" s="95">
        <v>407</v>
      </c>
      <c r="I29" s="95">
        <f>INT(772066*1.1)</f>
        <v>849272</v>
      </c>
      <c r="J29" s="95">
        <f>32039*1.1</f>
        <v>35242.9</v>
      </c>
    </row>
    <row r="30" spans="1:14" ht="20.100000000000001" customHeight="1" x14ac:dyDescent="0.15">
      <c r="A30" s="70" t="s">
        <v>34</v>
      </c>
      <c r="B30" s="110">
        <v>46260</v>
      </c>
      <c r="C30" s="146" t="s">
        <v>178</v>
      </c>
      <c r="D30" s="95">
        <v>169</v>
      </c>
      <c r="E30" s="95">
        <f>685485*1.1</f>
        <v>754033.50000000012</v>
      </c>
      <c r="F30" s="95">
        <v>180</v>
      </c>
      <c r="G30" s="95">
        <f>805522*1.1</f>
        <v>886074.20000000007</v>
      </c>
      <c r="H30" s="95">
        <v>349</v>
      </c>
      <c r="I30" s="95">
        <f>INT(747395*1.1)</f>
        <v>822134</v>
      </c>
      <c r="J30" s="95">
        <f>7368*1.1</f>
        <v>8104.8000000000011</v>
      </c>
    </row>
    <row r="31" spans="1:14" ht="20.100000000000001" customHeight="1" x14ac:dyDescent="0.15">
      <c r="A31" s="70" t="s">
        <v>35</v>
      </c>
      <c r="B31" s="110">
        <v>46261</v>
      </c>
      <c r="C31" s="146"/>
      <c r="D31" s="95"/>
      <c r="E31" s="95"/>
      <c r="F31" s="95"/>
      <c r="G31" s="95"/>
      <c r="H31" s="95"/>
      <c r="I31" s="95"/>
      <c r="J31" s="95"/>
    </row>
    <row r="32" spans="1:14" ht="20.100000000000001" customHeight="1" x14ac:dyDescent="0.15">
      <c r="A32" s="70" t="s">
        <v>36</v>
      </c>
      <c r="B32" s="110">
        <v>46262</v>
      </c>
      <c r="C32" s="175"/>
      <c r="D32" s="95"/>
      <c r="E32" s="95"/>
      <c r="F32" s="95"/>
      <c r="G32" s="95"/>
      <c r="H32" s="95"/>
      <c r="I32" s="95"/>
      <c r="J32" s="95"/>
    </row>
    <row r="33" spans="1:89" ht="20.100000000000001" customHeight="1" x14ac:dyDescent="0.15">
      <c r="A33" s="70" t="s">
        <v>37</v>
      </c>
      <c r="B33" s="110">
        <v>46263</v>
      </c>
      <c r="C33" s="146"/>
      <c r="D33" s="95"/>
      <c r="E33" s="95"/>
      <c r="F33" s="95"/>
      <c r="G33" s="95"/>
      <c r="H33" s="95"/>
      <c r="I33" s="95"/>
      <c r="J33" s="95"/>
    </row>
    <row r="34" spans="1:89" ht="20.100000000000001" customHeight="1" x14ac:dyDescent="0.15">
      <c r="A34" s="83" t="s">
        <v>134</v>
      </c>
      <c r="B34" s="82">
        <v>46264</v>
      </c>
      <c r="C34" s="145"/>
      <c r="D34" s="78"/>
      <c r="E34" s="78"/>
      <c r="F34" s="78"/>
      <c r="G34" s="78"/>
      <c r="H34" s="78"/>
      <c r="I34" s="78"/>
      <c r="J34" s="78"/>
    </row>
    <row r="35" spans="1:89" ht="20.100000000000001" customHeight="1" x14ac:dyDescent="0.15">
      <c r="A35" s="70" t="s">
        <v>59</v>
      </c>
      <c r="B35" s="110">
        <v>46265</v>
      </c>
      <c r="C35" s="146"/>
      <c r="D35" s="201"/>
      <c r="E35" s="201"/>
      <c r="F35" s="201"/>
      <c r="G35" s="201"/>
      <c r="H35" s="201"/>
      <c r="I35" s="201"/>
      <c r="J35" s="95"/>
    </row>
    <row r="36" spans="1:89" s="202" customFormat="1" ht="20.100000000000001" customHeight="1" x14ac:dyDescent="0.15">
      <c r="A36" s="219" t="s">
        <v>60</v>
      </c>
      <c r="B36" s="252"/>
      <c r="C36" s="220"/>
      <c r="D36" s="95">
        <f>SUM(D5:D35)</f>
        <v>2090</v>
      </c>
      <c r="E36" s="95">
        <f>AVERAGE(E5:E35)</f>
        <v>747970.06428571441</v>
      </c>
      <c r="F36" s="95">
        <f>SUM(F5:F35)</f>
        <v>2626</v>
      </c>
      <c r="G36" s="95">
        <f>AVERAGE(G5:G35)</f>
        <v>875015.58571428584</v>
      </c>
      <c r="H36" s="95">
        <f>D36+F36</f>
        <v>4716</v>
      </c>
      <c r="I36" s="95">
        <f>SUMPRODUCT(H5:H35,I5:I35)/H36</f>
        <v>819239.04836726049</v>
      </c>
      <c r="J36" s="95"/>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2"/>
      <c r="CE36" s="182"/>
      <c r="CF36" s="182"/>
      <c r="CG36" s="182"/>
      <c r="CH36" s="182"/>
      <c r="CI36" s="182"/>
      <c r="CJ36" s="182"/>
      <c r="CK36" s="182"/>
    </row>
    <row r="37" spans="1:89" x14ac:dyDescent="0.15">
      <c r="B37" s="9"/>
      <c r="C37" s="186" t="s">
        <v>161</v>
      </c>
      <c r="D37" s="10"/>
      <c r="E37" s="10"/>
      <c r="F37" s="10"/>
      <c r="G37" s="10"/>
      <c r="H37" s="10" t="s">
        <v>109</v>
      </c>
      <c r="I37" s="10">
        <f>I36/1.1</f>
        <v>744762.77124296397</v>
      </c>
      <c r="J37" s="10"/>
    </row>
    <row r="38" spans="1:89" ht="14.25" thickBot="1" x14ac:dyDescent="0.2">
      <c r="B38" s="9"/>
      <c r="C38" s="106" t="s">
        <v>186</v>
      </c>
      <c r="D38" s="10"/>
      <c r="E38" s="10"/>
      <c r="F38" s="10"/>
      <c r="G38" s="10"/>
      <c r="H38" s="10"/>
      <c r="I38" s="10"/>
      <c r="J38" s="10"/>
    </row>
    <row r="39" spans="1:89" ht="13.15" customHeight="1" thickTop="1" thickBot="1" x14ac:dyDescent="0.2">
      <c r="B39" s="9"/>
      <c r="C39" s="9"/>
      <c r="E39" s="187"/>
      <c r="F39" s="187"/>
      <c r="G39" s="187"/>
      <c r="H39" s="224" t="s">
        <v>100</v>
      </c>
      <c r="I39" s="225"/>
      <c r="J39" s="187"/>
    </row>
    <row r="40" spans="1:89" ht="14.25" thickTop="1" x14ac:dyDescent="0.15">
      <c r="B40" s="9"/>
      <c r="C40" s="9"/>
      <c r="D40" s="188"/>
      <c r="E40" s="226"/>
      <c r="F40" s="226"/>
      <c r="H40" s="189" t="s">
        <v>99</v>
      </c>
      <c r="I40" s="190" t="s">
        <v>148</v>
      </c>
    </row>
    <row r="41" spans="1:89" x14ac:dyDescent="0.15">
      <c r="B41" s="9"/>
      <c r="C41" s="9"/>
      <c r="D41" s="188"/>
      <c r="E41" s="227"/>
      <c r="F41" s="227"/>
      <c r="G41" s="191"/>
      <c r="H41" s="192" t="s">
        <v>98</v>
      </c>
      <c r="I41" s="193">
        <f>I36</f>
        <v>819239.04836726049</v>
      </c>
      <c r="J41" s="187"/>
    </row>
    <row r="42" spans="1:89" x14ac:dyDescent="0.15">
      <c r="B42" s="9"/>
      <c r="C42" s="9"/>
      <c r="D42" s="188"/>
      <c r="E42" s="227"/>
      <c r="F42" s="227"/>
      <c r="G42" s="194"/>
      <c r="H42" s="195" t="s">
        <v>44</v>
      </c>
      <c r="I42" s="196">
        <f>'7月'!$I$36</f>
        <v>817823.06184014573</v>
      </c>
      <c r="J42" s="187"/>
    </row>
    <row r="43" spans="1:89" ht="14.25" thickBot="1" x14ac:dyDescent="0.2">
      <c r="B43" s="9"/>
      <c r="C43" s="9"/>
      <c r="D43" s="188"/>
      <c r="E43" s="227"/>
      <c r="F43" s="227"/>
      <c r="G43" s="187"/>
      <c r="H43" s="197" t="s">
        <v>45</v>
      </c>
      <c r="I43" s="198">
        <f>I41-I42</f>
        <v>1415.9865271147573</v>
      </c>
      <c r="J43" s="187"/>
    </row>
    <row r="44" spans="1:89" ht="15" thickTop="1" thickBot="1" x14ac:dyDescent="0.2">
      <c r="B44" s="9"/>
      <c r="C44" s="9"/>
      <c r="D44" s="10"/>
      <c r="E44" s="10"/>
      <c r="J44" s="10"/>
    </row>
    <row r="45" spans="1:89" ht="15" thickTop="1" thickBot="1" x14ac:dyDescent="0.2">
      <c r="H45" s="224" t="s">
        <v>101</v>
      </c>
      <c r="I45" s="225"/>
    </row>
    <row r="46" spans="1:89" ht="14.25" thickTop="1" x14ac:dyDescent="0.15">
      <c r="H46" s="189" t="s">
        <v>99</v>
      </c>
      <c r="I46" s="190" t="s">
        <v>148</v>
      </c>
    </row>
    <row r="47" spans="1:89" x14ac:dyDescent="0.15">
      <c r="H47" s="192" t="s">
        <v>98</v>
      </c>
      <c r="I47" s="193">
        <f>I41</f>
        <v>819239.04836726049</v>
      </c>
    </row>
    <row r="48" spans="1:89" x14ac:dyDescent="0.15">
      <c r="H48" s="195" t="s">
        <v>77</v>
      </c>
      <c r="I48" s="196">
        <f>SUM(価格推移グラフ!EW5)</f>
        <v>642130.87086776865</v>
      </c>
    </row>
    <row r="49" spans="8:9" ht="14.25" thickBot="1" x14ac:dyDescent="0.2">
      <c r="H49" s="197" t="s">
        <v>78</v>
      </c>
      <c r="I49" s="198">
        <f>I47-I48</f>
        <v>177108.17749949184</v>
      </c>
    </row>
    <row r="50" spans="8:9" ht="14.25" thickTop="1" x14ac:dyDescent="0.15"/>
  </sheetData>
  <mergeCells count="14">
    <mergeCell ref="A36:C36"/>
    <mergeCell ref="J3:J4"/>
    <mergeCell ref="F3:G3"/>
    <mergeCell ref="H3:I3"/>
    <mergeCell ref="A3:A4"/>
    <mergeCell ref="B3:B4"/>
    <mergeCell ref="C3:C4"/>
    <mergeCell ref="D3:E3"/>
    <mergeCell ref="H45:I45"/>
    <mergeCell ref="H39:I39"/>
    <mergeCell ref="E40:F40"/>
    <mergeCell ref="E41:F41"/>
    <mergeCell ref="E42:F42"/>
    <mergeCell ref="E43:F43"/>
  </mergeCells>
  <phoneticPr fontId="1"/>
  <pageMargins left="0.87" right="0.31496062992125984" top="0.74803149606299213" bottom="0.74803149606299213" header="0.31496062992125984" footer="0.31496062992125984"/>
  <pageSetup paperSize="9" scale="88" orientation="portrait" r:id="rId1"/>
  <rowBreaks count="1" manualBreakCount="1">
    <brk id="49" max="16383" man="1"/>
  </rowBreaks>
  <colBreaks count="2" manualBreakCount="2">
    <brk id="1" max="48" man="1"/>
    <brk id="1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pageSetUpPr fitToPage="1"/>
  </sheetPr>
  <dimension ref="A1:BG49"/>
  <sheetViews>
    <sheetView tabSelected="1" zoomScaleNormal="100" workbookViewId="0">
      <selection activeCell="K8" sqref="K8"/>
    </sheetView>
  </sheetViews>
  <sheetFormatPr defaultColWidth="8.875" defaultRowHeight="13.5" x14ac:dyDescent="0.15"/>
  <cols>
    <col min="1" max="1" width="7.75" style="16" customWidth="1"/>
    <col min="2" max="2" width="9" style="16" customWidth="1"/>
    <col min="3" max="3" width="12" style="16" customWidth="1"/>
    <col min="4" max="4" width="10.125" style="16" bestFit="1" customWidth="1"/>
    <col min="5" max="6" width="9" style="16"/>
    <col min="7" max="7" width="10.25" style="16" bestFit="1" customWidth="1"/>
    <col min="8" max="8" width="8.125" style="16" customWidth="1"/>
    <col min="9" max="10" width="9" style="16"/>
    <col min="11" max="11" width="9" style="182" customWidth="1"/>
    <col min="12" max="12" width="10.5" style="180" bestFit="1" customWidth="1"/>
    <col min="13" max="14" width="11.5" style="182" bestFit="1" customWidth="1"/>
    <col min="15" max="16384" width="8.875" style="182"/>
  </cols>
  <sheetData>
    <row r="1" spans="1:16" ht="19.5" customHeight="1" x14ac:dyDescent="0.15">
      <c r="A1" s="58" t="s">
        <v>157</v>
      </c>
      <c r="B1" s="118"/>
      <c r="C1" s="118" t="s">
        <v>62</v>
      </c>
      <c r="D1" s="105"/>
      <c r="E1" s="105" t="s">
        <v>41</v>
      </c>
      <c r="F1" s="105"/>
      <c r="G1" s="10"/>
      <c r="H1" s="10"/>
      <c r="I1" s="10" t="s">
        <v>42</v>
      </c>
      <c r="J1" s="10"/>
    </row>
    <row r="2" spans="1:16" ht="19.5" customHeight="1" x14ac:dyDescent="0.15">
      <c r="B2" s="9"/>
      <c r="C2" s="9"/>
      <c r="D2" s="10"/>
      <c r="E2" s="10"/>
      <c r="F2" s="10"/>
      <c r="G2" s="10"/>
      <c r="H2" s="10"/>
      <c r="I2" s="107" t="s">
        <v>43</v>
      </c>
      <c r="J2" s="10"/>
    </row>
    <row r="3" spans="1:16" ht="15" customHeight="1" x14ac:dyDescent="0.15">
      <c r="A3" s="222" t="s">
        <v>0</v>
      </c>
      <c r="B3" s="222" t="s">
        <v>1</v>
      </c>
      <c r="C3" s="223" t="s">
        <v>81</v>
      </c>
      <c r="D3" s="221" t="s">
        <v>5</v>
      </c>
      <c r="E3" s="221"/>
      <c r="F3" s="221" t="s">
        <v>6</v>
      </c>
      <c r="G3" s="221"/>
      <c r="H3" s="221" t="s">
        <v>7</v>
      </c>
      <c r="I3" s="221"/>
      <c r="J3" s="221" t="s">
        <v>8</v>
      </c>
    </row>
    <row r="4" spans="1:16" ht="15" customHeight="1" x14ac:dyDescent="0.15">
      <c r="A4" s="222"/>
      <c r="B4" s="222"/>
      <c r="C4" s="223"/>
      <c r="D4" s="99" t="s">
        <v>3</v>
      </c>
      <c r="E4" s="99" t="s">
        <v>4</v>
      </c>
      <c r="F4" s="99" t="s">
        <v>3</v>
      </c>
      <c r="G4" s="99" t="s">
        <v>4</v>
      </c>
      <c r="H4" s="99" t="s">
        <v>3</v>
      </c>
      <c r="I4" s="99" t="s">
        <v>4</v>
      </c>
      <c r="J4" s="221"/>
    </row>
    <row r="5" spans="1:16" ht="19.5" customHeight="1" x14ac:dyDescent="0.15">
      <c r="A5" s="70" t="s">
        <v>9</v>
      </c>
      <c r="B5" s="108">
        <v>46266</v>
      </c>
      <c r="C5" s="146" t="s">
        <v>212</v>
      </c>
      <c r="D5" s="95">
        <v>146</v>
      </c>
      <c r="E5" s="95">
        <f>687890*1.1</f>
        <v>756679.00000000012</v>
      </c>
      <c r="F5" s="95">
        <v>201</v>
      </c>
      <c r="G5" s="95">
        <f>779035*1.1</f>
        <v>856938.50000000012</v>
      </c>
      <c r="H5" s="95">
        <v>347</v>
      </c>
      <c r="I5" s="95">
        <f>740686*1.1</f>
        <v>814754.60000000009</v>
      </c>
      <c r="J5" s="95">
        <f>I5-'7月'!I5</f>
        <v>14073.400000000023</v>
      </c>
    </row>
    <row r="6" spans="1:16" ht="19.5" customHeight="1" x14ac:dyDescent="0.15">
      <c r="A6" s="70" t="s">
        <v>10</v>
      </c>
      <c r="B6" s="108">
        <v>46267</v>
      </c>
      <c r="C6" s="146"/>
      <c r="D6" s="95"/>
      <c r="E6" s="95"/>
      <c r="F6" s="95"/>
      <c r="G6" s="95"/>
      <c r="H6" s="95"/>
      <c r="I6" s="95"/>
      <c r="J6" s="95"/>
      <c r="K6" s="217" t="s">
        <v>237</v>
      </c>
      <c r="L6" s="218"/>
      <c r="M6" s="218"/>
      <c r="N6" s="218"/>
      <c r="O6" s="218"/>
      <c r="P6" s="218"/>
    </row>
    <row r="7" spans="1:16" ht="19.149999999999999" customHeight="1" x14ac:dyDescent="0.15">
      <c r="A7" s="70" t="s">
        <v>11</v>
      </c>
      <c r="B7" s="108">
        <v>46268</v>
      </c>
      <c r="C7" s="146"/>
      <c r="D7" s="95"/>
      <c r="E7" s="95"/>
      <c r="F7" s="95"/>
      <c r="G7" s="95"/>
      <c r="H7" s="95"/>
      <c r="I7" s="95"/>
      <c r="J7" s="95"/>
      <c r="K7" s="217"/>
      <c r="L7" s="218"/>
      <c r="M7" s="218"/>
      <c r="N7" s="218"/>
      <c r="O7" s="218"/>
      <c r="P7" s="218"/>
    </row>
    <row r="8" spans="1:16" ht="19.149999999999999" customHeight="1" x14ac:dyDescent="0.15">
      <c r="A8" s="70" t="s">
        <v>12</v>
      </c>
      <c r="B8" s="108">
        <v>46269</v>
      </c>
      <c r="C8" s="171" t="s">
        <v>166</v>
      </c>
      <c r="D8" s="95">
        <v>171</v>
      </c>
      <c r="E8" s="95">
        <f>673474*1.1</f>
        <v>740821.4</v>
      </c>
      <c r="F8" s="95">
        <v>246</v>
      </c>
      <c r="G8" s="95">
        <f>769220*1.1</f>
        <v>846142.00000000012</v>
      </c>
      <c r="H8" s="95">
        <v>417</v>
      </c>
      <c r="I8" s="95">
        <f>729957*1.1</f>
        <v>802952.70000000007</v>
      </c>
      <c r="J8" s="95">
        <f>I8-'8月'!I6</f>
        <v>5389.7000000000698</v>
      </c>
    </row>
    <row r="9" spans="1:16" ht="19.149999999999999" customHeight="1" x14ac:dyDescent="0.15">
      <c r="A9" s="162" t="s">
        <v>13</v>
      </c>
      <c r="B9" s="108">
        <v>46270</v>
      </c>
      <c r="C9" s="171" t="s">
        <v>217</v>
      </c>
      <c r="D9" s="95">
        <v>92</v>
      </c>
      <c r="E9" s="95">
        <f>664717*1.1</f>
        <v>731188.70000000007</v>
      </c>
      <c r="F9" s="95">
        <v>154</v>
      </c>
      <c r="G9" s="95">
        <f>765688*1.1</f>
        <v>842256.8</v>
      </c>
      <c r="H9" s="95">
        <v>246</v>
      </c>
      <c r="I9" s="95">
        <f>727927*1.1</f>
        <v>800719.70000000007</v>
      </c>
      <c r="J9" s="95">
        <f>I9-'8月'!I7</f>
        <v>-632.5</v>
      </c>
      <c r="K9" s="182" t="s">
        <v>218</v>
      </c>
    </row>
    <row r="10" spans="1:16" ht="19.149999999999999" customHeight="1" x14ac:dyDescent="0.15">
      <c r="A10" s="109" t="s">
        <v>14</v>
      </c>
      <c r="B10" s="163">
        <v>46271</v>
      </c>
      <c r="C10" s="143" t="s">
        <v>213</v>
      </c>
      <c r="D10" s="95">
        <f>64+90</f>
        <v>154</v>
      </c>
      <c r="E10" s="95">
        <f>(684875+651611)/2*1.1</f>
        <v>735067.3</v>
      </c>
      <c r="F10" s="95">
        <f>95+79</f>
        <v>174</v>
      </c>
      <c r="G10" s="95">
        <f>(763947+751684)/2*1.1</f>
        <v>833597.05</v>
      </c>
      <c r="H10" s="95">
        <f>159+169</f>
        <v>328</v>
      </c>
      <c r="I10" s="95">
        <f>(698391+732119)/2*1.1</f>
        <v>786780.50000000012</v>
      </c>
      <c r="J10" s="95">
        <f>786781-788859</f>
        <v>-2078</v>
      </c>
    </row>
    <row r="11" spans="1:16" ht="19.149999999999999" customHeight="1" x14ac:dyDescent="0.15">
      <c r="A11" s="109" t="s">
        <v>15</v>
      </c>
      <c r="B11" s="108">
        <v>46272</v>
      </c>
      <c r="C11" s="143"/>
      <c r="D11" s="95"/>
      <c r="E11" s="95"/>
      <c r="F11" s="95"/>
      <c r="G11" s="95"/>
      <c r="H11" s="95"/>
      <c r="I11" s="95"/>
      <c r="J11" s="95"/>
    </row>
    <row r="12" spans="1:16" ht="19.149999999999999" customHeight="1" x14ac:dyDescent="0.15">
      <c r="A12" s="109" t="s">
        <v>16</v>
      </c>
      <c r="B12" s="108">
        <v>46273</v>
      </c>
      <c r="C12" s="140" t="s">
        <v>174</v>
      </c>
      <c r="D12" s="95">
        <v>167</v>
      </c>
      <c r="E12" s="95">
        <f>660952*1.1</f>
        <v>727047.20000000007</v>
      </c>
      <c r="F12" s="95">
        <v>168</v>
      </c>
      <c r="G12" s="95">
        <f>793702*1.1</f>
        <v>873072.20000000007</v>
      </c>
      <c r="H12" s="95">
        <v>335</v>
      </c>
      <c r="I12" s="95">
        <f>727525*1.1</f>
        <v>800277.50000000012</v>
      </c>
      <c r="J12" s="95">
        <f>I12-'8月'!I12</f>
        <v>-13260.5</v>
      </c>
    </row>
    <row r="13" spans="1:16" ht="19.149999999999999" customHeight="1" x14ac:dyDescent="0.15">
      <c r="A13" s="109" t="s">
        <v>17</v>
      </c>
      <c r="B13" s="108">
        <v>46274</v>
      </c>
      <c r="C13" s="140" t="s">
        <v>172</v>
      </c>
      <c r="D13" s="95">
        <v>89</v>
      </c>
      <c r="E13" s="95">
        <f>668438*1.1</f>
        <v>735281.8</v>
      </c>
      <c r="F13" s="95">
        <v>178</v>
      </c>
      <c r="G13" s="95">
        <f>795067*1.1</f>
        <v>874573.70000000007</v>
      </c>
      <c r="H13" s="95">
        <v>267</v>
      </c>
      <c r="I13" s="95">
        <f>752858*1.1</f>
        <v>828143.8</v>
      </c>
      <c r="J13" s="95">
        <f>I13-'8月'!I10</f>
        <v>8304.8000000000466</v>
      </c>
    </row>
    <row r="14" spans="1:16" ht="20.100000000000001" customHeight="1" x14ac:dyDescent="0.15">
      <c r="A14" s="109" t="s">
        <v>18</v>
      </c>
      <c r="B14" s="108">
        <v>46275</v>
      </c>
      <c r="C14" s="146" t="s">
        <v>172</v>
      </c>
      <c r="D14" s="95">
        <v>141</v>
      </c>
      <c r="E14" s="95">
        <f>692121*1.1</f>
        <v>761333.10000000009</v>
      </c>
      <c r="F14" s="95">
        <v>136</v>
      </c>
      <c r="G14" s="95">
        <f>793816*1.1</f>
        <v>873197.60000000009</v>
      </c>
      <c r="H14" s="95">
        <v>277</v>
      </c>
      <c r="I14" s="95">
        <f>742051*1.1</f>
        <v>816256.10000000009</v>
      </c>
      <c r="J14" s="95">
        <f>I14-'8月'!I11</f>
        <v>26383.100000000093</v>
      </c>
    </row>
    <row r="15" spans="1:16" ht="20.100000000000001" customHeight="1" x14ac:dyDescent="0.15">
      <c r="A15" s="109" t="s">
        <v>19</v>
      </c>
      <c r="B15" s="108">
        <v>46276</v>
      </c>
      <c r="C15" s="146" t="s">
        <v>171</v>
      </c>
      <c r="D15" s="95">
        <v>121</v>
      </c>
      <c r="E15" s="95">
        <v>771818</v>
      </c>
      <c r="F15" s="95">
        <v>162</v>
      </c>
      <c r="G15" s="95">
        <v>905076</v>
      </c>
      <c r="H15" s="95">
        <v>283</v>
      </c>
      <c r="I15" s="95">
        <v>848100</v>
      </c>
      <c r="J15" s="95">
        <f>I15-'8月'!I8</f>
        <v>22087.999999999884</v>
      </c>
      <c r="K15" s="180"/>
      <c r="M15" s="184"/>
    </row>
    <row r="16" spans="1:16" ht="20.100000000000001" customHeight="1" x14ac:dyDescent="0.15">
      <c r="A16" s="109" t="s">
        <v>20</v>
      </c>
      <c r="B16" s="108">
        <v>46277</v>
      </c>
      <c r="C16" s="146" t="s">
        <v>171</v>
      </c>
      <c r="D16" s="95">
        <v>129</v>
      </c>
      <c r="E16" s="95">
        <v>779909</v>
      </c>
      <c r="F16" s="95">
        <v>149</v>
      </c>
      <c r="G16" s="95">
        <v>872603</v>
      </c>
      <c r="H16" s="95">
        <v>278</v>
      </c>
      <c r="I16" s="95">
        <v>829590</v>
      </c>
      <c r="J16" s="95">
        <f>I16-'8月'!I9</f>
        <v>10785</v>
      </c>
      <c r="M16" s="184"/>
    </row>
    <row r="17" spans="1:14" ht="20.100000000000001" customHeight="1" x14ac:dyDescent="0.15">
      <c r="A17" s="109" t="s">
        <v>21</v>
      </c>
      <c r="B17" s="163">
        <v>46278</v>
      </c>
      <c r="C17" s="177" t="s">
        <v>236</v>
      </c>
      <c r="D17" s="95">
        <v>147</v>
      </c>
      <c r="E17" s="95">
        <f>651514*1.1</f>
        <v>716665.4</v>
      </c>
      <c r="F17" s="95">
        <v>212</v>
      </c>
      <c r="G17" s="95">
        <f>741486*1.1</f>
        <v>815634.60000000009</v>
      </c>
      <c r="H17" s="95">
        <v>359</v>
      </c>
      <c r="I17" s="95">
        <f>705093*1.1</f>
        <v>775602.3</v>
      </c>
      <c r="J17" s="95">
        <f>775602-795463</f>
        <v>-19861</v>
      </c>
      <c r="M17" s="180"/>
    </row>
    <row r="18" spans="1:14" ht="20.100000000000001" customHeight="1" x14ac:dyDescent="0.15">
      <c r="A18" s="109" t="s">
        <v>22</v>
      </c>
      <c r="B18" s="108">
        <v>46279</v>
      </c>
      <c r="C18" s="146"/>
      <c r="D18" s="95"/>
      <c r="E18" s="95"/>
      <c r="F18" s="95"/>
      <c r="G18" s="95"/>
      <c r="H18" s="95"/>
      <c r="I18" s="95"/>
      <c r="J18" s="95"/>
      <c r="M18" s="180"/>
    </row>
    <row r="19" spans="1:14" ht="20.100000000000001" customHeight="1" x14ac:dyDescent="0.15">
      <c r="A19" s="109" t="s">
        <v>23</v>
      </c>
      <c r="B19" s="108">
        <v>46280</v>
      </c>
      <c r="C19" s="204" t="s">
        <v>173</v>
      </c>
      <c r="D19" s="95">
        <v>156</v>
      </c>
      <c r="E19" s="95">
        <f>634654*1.1</f>
        <v>698119.4</v>
      </c>
      <c r="F19" s="95">
        <v>188</v>
      </c>
      <c r="G19" s="95">
        <f>779957*1.1</f>
        <v>857952.70000000007</v>
      </c>
      <c r="H19" s="95">
        <v>344</v>
      </c>
      <c r="I19" s="95">
        <f>715064*1.1</f>
        <v>786570.4</v>
      </c>
      <c r="J19" s="95">
        <f>I19-'8月'!I25</f>
        <v>-28565.900000000023</v>
      </c>
      <c r="M19" s="180"/>
      <c r="N19" s="184"/>
    </row>
    <row r="20" spans="1:14" ht="20.100000000000001" customHeight="1" x14ac:dyDescent="0.15">
      <c r="A20" s="109" t="s">
        <v>24</v>
      </c>
      <c r="B20" s="108">
        <v>46281</v>
      </c>
      <c r="C20" s="146" t="s">
        <v>175</v>
      </c>
      <c r="D20" s="95"/>
      <c r="E20" s="95"/>
      <c r="F20" s="95"/>
      <c r="G20" s="95"/>
      <c r="H20" s="95"/>
      <c r="I20" s="95"/>
      <c r="J20" s="95"/>
      <c r="N20" s="180"/>
    </row>
    <row r="21" spans="1:14" ht="19.5" customHeight="1" x14ac:dyDescent="0.15">
      <c r="A21" s="109" t="s">
        <v>25</v>
      </c>
      <c r="B21" s="108">
        <v>46282</v>
      </c>
      <c r="C21" s="207" t="s">
        <v>175</v>
      </c>
      <c r="D21" s="95"/>
      <c r="E21" s="95"/>
      <c r="F21" s="95"/>
      <c r="G21" s="95"/>
      <c r="H21" s="95"/>
      <c r="I21" s="95"/>
      <c r="J21" s="95"/>
    </row>
    <row r="22" spans="1:14" ht="20.100000000000001" customHeight="1" x14ac:dyDescent="0.15">
      <c r="A22" s="109" t="s">
        <v>26</v>
      </c>
      <c r="B22" s="108">
        <v>46283</v>
      </c>
      <c r="C22" s="207" t="s">
        <v>176</v>
      </c>
      <c r="D22" s="95"/>
      <c r="E22" s="95"/>
      <c r="F22" s="95"/>
      <c r="G22" s="95"/>
      <c r="H22" s="95"/>
      <c r="I22" s="95"/>
      <c r="J22" s="95"/>
    </row>
    <row r="23" spans="1:14" ht="20.100000000000001" customHeight="1" x14ac:dyDescent="0.15">
      <c r="A23" s="109" t="s">
        <v>27</v>
      </c>
      <c r="B23" s="108">
        <v>46284</v>
      </c>
      <c r="C23" s="146" t="s">
        <v>177</v>
      </c>
      <c r="D23" s="95"/>
      <c r="E23" s="95"/>
      <c r="F23" s="95"/>
      <c r="G23" s="95"/>
      <c r="H23" s="95"/>
      <c r="I23" s="95"/>
      <c r="J23" s="95"/>
    </row>
    <row r="24" spans="1:14" ht="20.100000000000001" customHeight="1" x14ac:dyDescent="0.15">
      <c r="A24" s="109" t="s">
        <v>28</v>
      </c>
      <c r="B24" s="163">
        <v>46285</v>
      </c>
      <c r="C24" s="175"/>
      <c r="D24" s="95"/>
      <c r="E24" s="95"/>
      <c r="F24" s="95"/>
      <c r="G24" s="95"/>
      <c r="H24" s="95"/>
      <c r="I24" s="95"/>
      <c r="J24" s="95"/>
      <c r="M24" s="184"/>
    </row>
    <row r="25" spans="1:14" ht="20.100000000000001" customHeight="1" x14ac:dyDescent="0.15">
      <c r="A25" s="109" t="s">
        <v>29</v>
      </c>
      <c r="B25" s="163">
        <v>46286</v>
      </c>
      <c r="C25" s="204" t="s">
        <v>214</v>
      </c>
      <c r="D25" s="95"/>
      <c r="E25" s="95"/>
      <c r="F25" s="95"/>
      <c r="G25" s="95"/>
      <c r="H25" s="95"/>
      <c r="I25" s="95"/>
      <c r="J25" s="95"/>
      <c r="N25" s="184"/>
    </row>
    <row r="26" spans="1:14" ht="20.100000000000001" customHeight="1" x14ac:dyDescent="0.15">
      <c r="A26" s="109" t="s">
        <v>30</v>
      </c>
      <c r="B26" s="163">
        <v>46287</v>
      </c>
      <c r="C26" s="204" t="s">
        <v>215</v>
      </c>
      <c r="D26" s="95"/>
      <c r="E26" s="95"/>
      <c r="F26" s="95"/>
      <c r="G26" s="95"/>
      <c r="H26" s="95"/>
      <c r="I26" s="95"/>
      <c r="J26" s="95"/>
      <c r="M26" s="184"/>
    </row>
    <row r="27" spans="1:14" ht="20.100000000000001" customHeight="1" x14ac:dyDescent="0.15">
      <c r="A27" s="109" t="s">
        <v>31</v>
      </c>
      <c r="B27" s="163">
        <v>46288</v>
      </c>
      <c r="C27" s="204" t="s">
        <v>216</v>
      </c>
      <c r="D27" s="95"/>
      <c r="E27" s="95"/>
      <c r="F27" s="95"/>
      <c r="G27" s="95"/>
      <c r="H27" s="95"/>
      <c r="I27" s="95"/>
      <c r="J27" s="95"/>
      <c r="N27" s="180"/>
    </row>
    <row r="28" spans="1:14" ht="20.100000000000001" customHeight="1" x14ac:dyDescent="0.15">
      <c r="A28" s="109" t="s">
        <v>32</v>
      </c>
      <c r="B28" s="108">
        <v>46289</v>
      </c>
      <c r="C28" s="207" t="s">
        <v>178</v>
      </c>
      <c r="D28" s="95"/>
      <c r="E28" s="95"/>
      <c r="F28" s="95"/>
      <c r="G28" s="95"/>
      <c r="H28" s="95"/>
      <c r="I28" s="95"/>
      <c r="J28" s="95"/>
    </row>
    <row r="29" spans="1:14" ht="20.100000000000001" customHeight="1" x14ac:dyDescent="0.15">
      <c r="A29" s="109" t="s">
        <v>33</v>
      </c>
      <c r="B29" s="108">
        <v>46290</v>
      </c>
      <c r="C29" s="207" t="s">
        <v>178</v>
      </c>
      <c r="D29" s="95"/>
      <c r="E29" s="95"/>
      <c r="F29" s="95"/>
      <c r="G29" s="95"/>
      <c r="H29" s="95"/>
      <c r="I29" s="95"/>
      <c r="J29" s="95"/>
    </row>
    <row r="30" spans="1:14" ht="20.100000000000001" customHeight="1" x14ac:dyDescent="0.15">
      <c r="A30" s="109" t="s">
        <v>34</v>
      </c>
      <c r="B30" s="108">
        <v>46291</v>
      </c>
      <c r="C30" s="207" t="s">
        <v>178</v>
      </c>
      <c r="D30" s="95"/>
      <c r="E30" s="95"/>
      <c r="F30" s="95"/>
      <c r="G30" s="95"/>
      <c r="H30" s="95"/>
      <c r="I30" s="95"/>
      <c r="J30" s="95"/>
    </row>
    <row r="31" spans="1:14" ht="20.100000000000001" customHeight="1" x14ac:dyDescent="0.15">
      <c r="A31" s="109" t="s">
        <v>35</v>
      </c>
      <c r="B31" s="163">
        <v>46292</v>
      </c>
      <c r="C31" s="207"/>
      <c r="D31" s="95"/>
      <c r="E31" s="95"/>
      <c r="F31" s="95"/>
      <c r="G31" s="95"/>
      <c r="H31" s="95"/>
      <c r="I31" s="95"/>
      <c r="J31" s="95"/>
    </row>
    <row r="32" spans="1:14" ht="20.100000000000001" customHeight="1" x14ac:dyDescent="0.15">
      <c r="A32" s="109" t="s">
        <v>131</v>
      </c>
      <c r="B32" s="108">
        <v>46293</v>
      </c>
      <c r="C32" s="207"/>
      <c r="D32" s="95"/>
      <c r="E32" s="95"/>
      <c r="F32" s="95"/>
      <c r="G32" s="95"/>
      <c r="H32" s="95"/>
      <c r="I32" s="95"/>
      <c r="J32" s="95"/>
    </row>
    <row r="33" spans="1:59" ht="19.5" customHeight="1" x14ac:dyDescent="0.15">
      <c r="A33" s="109" t="s">
        <v>132</v>
      </c>
      <c r="B33" s="108">
        <v>46294</v>
      </c>
      <c r="C33" s="207"/>
      <c r="D33" s="95"/>
      <c r="E33" s="95"/>
      <c r="F33" s="95"/>
      <c r="G33" s="95"/>
      <c r="H33" s="95"/>
      <c r="I33" s="95"/>
      <c r="J33" s="95"/>
    </row>
    <row r="34" spans="1:59" ht="19.5" customHeight="1" x14ac:dyDescent="0.15">
      <c r="A34" s="109" t="s">
        <v>133</v>
      </c>
      <c r="B34" s="108">
        <v>46295</v>
      </c>
      <c r="C34" s="207"/>
      <c r="D34" s="95"/>
      <c r="E34" s="95"/>
      <c r="F34" s="95"/>
      <c r="G34" s="95"/>
      <c r="H34" s="95"/>
      <c r="I34" s="95"/>
      <c r="J34" s="95"/>
    </row>
    <row r="35" spans="1:59" s="202" customFormat="1" ht="18.75" customHeight="1" x14ac:dyDescent="0.15">
      <c r="A35" s="219" t="s">
        <v>79</v>
      </c>
      <c r="B35" s="220"/>
      <c r="C35" s="146"/>
      <c r="D35" s="100">
        <f>SUM(D5:D34)</f>
        <v>1513</v>
      </c>
      <c r="E35" s="100">
        <f>AVERAGE(E7:E34)</f>
        <v>739725.13000000012</v>
      </c>
      <c r="F35" s="100">
        <f>SUM(F5:F34)</f>
        <v>1968</v>
      </c>
      <c r="G35" s="100">
        <f>AVERAGE(G7:G34)</f>
        <v>859410.56500000006</v>
      </c>
      <c r="H35" s="100">
        <f>SUM(D35+F35)</f>
        <v>3481</v>
      </c>
      <c r="I35" s="95">
        <f>SUMPRODUCT(H4:H34,I4:I34)/H35</f>
        <v>806538.99235851772</v>
      </c>
      <c r="J35" s="100"/>
      <c r="K35" s="182"/>
      <c r="L35" s="180"/>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row>
    <row r="36" spans="1:59" x14ac:dyDescent="0.15">
      <c r="B36" s="9"/>
      <c r="C36" s="186" t="s">
        <v>161</v>
      </c>
      <c r="D36" s="10"/>
      <c r="E36" s="10"/>
      <c r="F36" s="10"/>
      <c r="G36" s="10"/>
      <c r="H36" s="10" t="s">
        <v>109</v>
      </c>
      <c r="I36" s="10">
        <f>I35/1.1</f>
        <v>733217.26578047057</v>
      </c>
      <c r="J36" s="10"/>
    </row>
    <row r="37" spans="1:59" ht="14.25" thickBot="1" x14ac:dyDescent="0.2">
      <c r="B37" s="9"/>
      <c r="C37" s="106" t="s">
        <v>186</v>
      </c>
      <c r="D37" s="10"/>
      <c r="E37" s="10"/>
      <c r="F37" s="10"/>
      <c r="G37" s="10"/>
      <c r="H37" s="10"/>
      <c r="I37" s="10"/>
      <c r="J37" s="10"/>
    </row>
    <row r="38" spans="1:59" ht="13.15" customHeight="1" thickTop="1" thickBot="1" x14ac:dyDescent="0.2">
      <c r="B38" s="9"/>
      <c r="C38" s="9"/>
      <c r="E38" s="187"/>
      <c r="F38" s="187"/>
      <c r="G38" s="187"/>
      <c r="H38" s="224" t="s">
        <v>100</v>
      </c>
      <c r="I38" s="225"/>
      <c r="J38" s="187"/>
    </row>
    <row r="39" spans="1:59" ht="14.25" thickTop="1" x14ac:dyDescent="0.15">
      <c r="B39" s="9"/>
      <c r="C39" s="9"/>
      <c r="D39" s="188"/>
      <c r="E39" s="226"/>
      <c r="F39" s="226"/>
      <c r="H39" s="189" t="s">
        <v>99</v>
      </c>
      <c r="I39" s="190" t="s">
        <v>148</v>
      </c>
    </row>
    <row r="40" spans="1:59" x14ac:dyDescent="0.15">
      <c r="B40" s="9"/>
      <c r="C40" s="9"/>
      <c r="D40" s="188"/>
      <c r="E40" s="227"/>
      <c r="F40" s="227"/>
      <c r="G40" s="191"/>
      <c r="H40" s="192" t="s">
        <v>98</v>
      </c>
      <c r="I40" s="193">
        <f>I35</f>
        <v>806538.99235851772</v>
      </c>
      <c r="J40" s="187"/>
    </row>
    <row r="41" spans="1:59" x14ac:dyDescent="0.15">
      <c r="B41" s="9"/>
      <c r="C41" s="9"/>
      <c r="D41" s="188"/>
      <c r="E41" s="227"/>
      <c r="F41" s="227"/>
      <c r="G41" s="194"/>
      <c r="H41" s="195" t="s">
        <v>44</v>
      </c>
      <c r="I41" s="196">
        <f>'8月'!$I$36</f>
        <v>819239.04836726049</v>
      </c>
      <c r="J41" s="187"/>
    </row>
    <row r="42" spans="1:59" ht="14.25" thickBot="1" x14ac:dyDescent="0.2">
      <c r="B42" s="9"/>
      <c r="C42" s="9"/>
      <c r="D42" s="188"/>
      <c r="E42" s="227"/>
      <c r="F42" s="227"/>
      <c r="G42" s="187"/>
      <c r="H42" s="197" t="s">
        <v>45</v>
      </c>
      <c r="I42" s="198">
        <f>I40-I41</f>
        <v>-12700.056008742773</v>
      </c>
      <c r="J42" s="187"/>
    </row>
    <row r="43" spans="1:59" ht="15" thickTop="1" thickBot="1" x14ac:dyDescent="0.2">
      <c r="B43" s="9"/>
      <c r="C43" s="9"/>
      <c r="D43" s="10"/>
      <c r="E43" s="10"/>
      <c r="J43" s="10"/>
    </row>
    <row r="44" spans="1:59" ht="15" thickTop="1" thickBot="1" x14ac:dyDescent="0.2">
      <c r="H44" s="224" t="s">
        <v>101</v>
      </c>
      <c r="I44" s="225"/>
    </row>
    <row r="45" spans="1:59" ht="14.25" thickTop="1" x14ac:dyDescent="0.15">
      <c r="H45" s="189" t="s">
        <v>99</v>
      </c>
      <c r="I45" s="190" t="s">
        <v>148</v>
      </c>
    </row>
    <row r="46" spans="1:59" x14ac:dyDescent="0.15">
      <c r="H46" s="192" t="s">
        <v>98</v>
      </c>
      <c r="I46" s="193">
        <f>I40</f>
        <v>806538.99235851772</v>
      </c>
    </row>
    <row r="47" spans="1:59" x14ac:dyDescent="0.15">
      <c r="H47" s="195" t="s">
        <v>77</v>
      </c>
      <c r="I47" s="196">
        <f>SUM(価格推移グラフ!EX5)</f>
        <v>630486.23326015379</v>
      </c>
    </row>
    <row r="48" spans="1:59" ht="14.25" thickBot="1" x14ac:dyDescent="0.2">
      <c r="H48" s="197" t="s">
        <v>78</v>
      </c>
      <c r="I48" s="198">
        <f>I46-I47</f>
        <v>176052.75909836392</v>
      </c>
    </row>
    <row r="49" ht="14.25" thickTop="1" x14ac:dyDescent="0.15"/>
  </sheetData>
  <mergeCells count="15">
    <mergeCell ref="H44:I44"/>
    <mergeCell ref="H38:I38"/>
    <mergeCell ref="E39:F39"/>
    <mergeCell ref="E40:F40"/>
    <mergeCell ref="E41:F41"/>
    <mergeCell ref="E42:F42"/>
    <mergeCell ref="K6:P7"/>
    <mergeCell ref="A35:B35"/>
    <mergeCell ref="J3:J4"/>
    <mergeCell ref="F3:G3"/>
    <mergeCell ref="H3:I3"/>
    <mergeCell ref="A3:A4"/>
    <mergeCell ref="B3:B4"/>
    <mergeCell ref="C3:C4"/>
    <mergeCell ref="D3:E3"/>
  </mergeCells>
  <phoneticPr fontId="1"/>
  <pageMargins left="0.55000000000000004" right="0.19685039370078741" top="0.39" bottom="0.3543307086614173" header="0.31496062992125984" footer="0.31496062992125984"/>
  <pageSetup paperSize="9" scale="85"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O50"/>
  <sheetViews>
    <sheetView zoomScaleNormal="100" workbookViewId="0">
      <selection activeCell="L26" sqref="L26"/>
    </sheetView>
  </sheetViews>
  <sheetFormatPr defaultColWidth="8.875" defaultRowHeight="13.5" x14ac:dyDescent="0.15"/>
  <cols>
    <col min="1" max="1" width="7.625" style="3" customWidth="1"/>
    <col min="2" max="2" width="9" style="3"/>
    <col min="3" max="3" width="11.125" style="3" customWidth="1"/>
    <col min="4" max="7" width="9" style="3"/>
    <col min="8" max="8" width="8.5" style="3" customWidth="1"/>
    <col min="9" max="10" width="9" style="3" customWidth="1"/>
    <col min="11" max="11" width="8.875" style="3"/>
    <col min="12" max="12" width="11.375" style="3" bestFit="1" customWidth="1"/>
    <col min="13" max="16384" width="8.875" style="3"/>
  </cols>
  <sheetData>
    <row r="1" spans="1:15" ht="20.100000000000001" customHeight="1" x14ac:dyDescent="0.15">
      <c r="A1" s="58" t="s">
        <v>158</v>
      </c>
      <c r="B1" s="19"/>
      <c r="C1" s="19" t="s">
        <v>46</v>
      </c>
      <c r="D1" s="20"/>
      <c r="E1" s="20" t="s">
        <v>41</v>
      </c>
      <c r="F1" s="20"/>
      <c r="G1" s="55"/>
      <c r="H1" s="55"/>
      <c r="I1" s="12" t="s">
        <v>42</v>
      </c>
      <c r="J1" s="55"/>
    </row>
    <row r="2" spans="1:15" ht="20.100000000000001" customHeight="1" x14ac:dyDescent="0.15">
      <c r="B2" s="60"/>
      <c r="C2" s="60"/>
      <c r="D2" s="55"/>
      <c r="E2" s="55"/>
      <c r="F2" s="55"/>
      <c r="G2" s="55"/>
      <c r="H2" s="55"/>
      <c r="I2" s="14" t="s">
        <v>43</v>
      </c>
      <c r="J2" s="55"/>
    </row>
    <row r="3" spans="1:15" s="56" customFormat="1" ht="20.100000000000001" customHeight="1" x14ac:dyDescent="0.15">
      <c r="A3" s="232" t="s">
        <v>0</v>
      </c>
      <c r="B3" s="232" t="s">
        <v>1</v>
      </c>
      <c r="C3" s="232" t="s">
        <v>2</v>
      </c>
      <c r="D3" s="230" t="s">
        <v>5</v>
      </c>
      <c r="E3" s="230"/>
      <c r="F3" s="230" t="s">
        <v>6</v>
      </c>
      <c r="G3" s="230"/>
      <c r="H3" s="230" t="s">
        <v>7</v>
      </c>
      <c r="I3" s="230"/>
      <c r="J3" s="230" t="s">
        <v>8</v>
      </c>
      <c r="L3" s="3"/>
      <c r="M3" s="3"/>
      <c r="N3" s="3"/>
      <c r="O3" s="3"/>
    </row>
    <row r="4" spans="1:15" s="56" customFormat="1" ht="20.100000000000001" customHeight="1" x14ac:dyDescent="0.15">
      <c r="A4" s="232"/>
      <c r="B4" s="232"/>
      <c r="C4" s="232"/>
      <c r="D4" s="23" t="s">
        <v>3</v>
      </c>
      <c r="E4" s="23" t="s">
        <v>4</v>
      </c>
      <c r="F4" s="23" t="s">
        <v>3</v>
      </c>
      <c r="G4" s="23" t="s">
        <v>4</v>
      </c>
      <c r="H4" s="23" t="s">
        <v>3</v>
      </c>
      <c r="I4" s="23" t="s">
        <v>4</v>
      </c>
      <c r="J4" s="230"/>
      <c r="L4" s="3"/>
      <c r="M4" s="3"/>
      <c r="N4" s="3"/>
      <c r="O4" s="3"/>
    </row>
    <row r="5" spans="1:15" s="56" customFormat="1" ht="20.100000000000001" customHeight="1" x14ac:dyDescent="0.15">
      <c r="A5" s="52" t="s">
        <v>112</v>
      </c>
      <c r="B5" s="73">
        <v>46296</v>
      </c>
      <c r="C5" s="136" t="s">
        <v>166</v>
      </c>
      <c r="D5" s="61"/>
      <c r="E5" s="15"/>
      <c r="F5" s="15"/>
      <c r="G5" s="15"/>
      <c r="H5" s="15"/>
      <c r="I5" s="15"/>
      <c r="J5" s="15"/>
      <c r="L5" s="3"/>
      <c r="M5" s="3"/>
      <c r="N5" s="3"/>
      <c r="O5" s="3"/>
    </row>
    <row r="6" spans="1:15" s="56" customFormat="1" ht="20.100000000000001" customHeight="1" x14ac:dyDescent="0.15">
      <c r="A6" s="52" t="s">
        <v>10</v>
      </c>
      <c r="B6" s="73">
        <v>46297</v>
      </c>
      <c r="C6" s="136" t="s">
        <v>209</v>
      </c>
      <c r="E6" s="15"/>
      <c r="F6" s="15"/>
      <c r="G6" s="15"/>
      <c r="H6" s="15"/>
      <c r="I6" s="15"/>
      <c r="J6" s="15"/>
      <c r="L6" s="3"/>
      <c r="M6" s="3"/>
      <c r="N6" s="3"/>
      <c r="O6" s="3"/>
    </row>
    <row r="7" spans="1:15" s="56" customFormat="1" ht="20.100000000000001" customHeight="1" x14ac:dyDescent="0.15">
      <c r="A7" s="52" t="s">
        <v>11</v>
      </c>
      <c r="B7" s="73">
        <v>46298</v>
      </c>
      <c r="C7" s="66"/>
      <c r="D7" s="15"/>
      <c r="E7" s="15"/>
      <c r="F7" s="15"/>
      <c r="G7" s="15"/>
      <c r="H7" s="15"/>
      <c r="I7" s="15"/>
      <c r="J7" s="15"/>
      <c r="K7" s="56" t="s">
        <v>219</v>
      </c>
      <c r="L7" s="3"/>
      <c r="M7" s="3"/>
      <c r="N7" s="3"/>
      <c r="O7" s="3"/>
    </row>
    <row r="8" spans="1:15" s="56" customFormat="1" ht="20.100000000000001" customHeight="1" x14ac:dyDescent="0.15">
      <c r="A8" s="115" t="s">
        <v>12</v>
      </c>
      <c r="B8" s="125">
        <v>46299</v>
      </c>
      <c r="C8" s="139"/>
      <c r="D8" s="68"/>
      <c r="E8" s="68"/>
      <c r="F8" s="68"/>
      <c r="G8" s="68"/>
      <c r="H8" s="68"/>
      <c r="I8" s="68"/>
      <c r="J8" s="68"/>
      <c r="L8" s="3"/>
      <c r="M8" s="3"/>
      <c r="N8" s="3"/>
      <c r="O8" s="3"/>
    </row>
    <row r="9" spans="1:15" s="56" customFormat="1" ht="20.100000000000001" customHeight="1" x14ac:dyDescent="0.15">
      <c r="A9" s="52" t="s">
        <v>13</v>
      </c>
      <c r="B9" s="73">
        <v>46300</v>
      </c>
      <c r="C9" s="136" t="s">
        <v>179</v>
      </c>
      <c r="D9" s="15"/>
      <c r="E9" s="15"/>
      <c r="F9" s="15"/>
      <c r="G9" s="15"/>
      <c r="H9" s="15"/>
      <c r="I9" s="15"/>
      <c r="J9" s="15"/>
      <c r="L9" s="3"/>
      <c r="M9" s="3"/>
      <c r="N9" s="3"/>
      <c r="O9" s="3"/>
    </row>
    <row r="10" spans="1:15" s="56" customFormat="1" ht="20.100000000000001" customHeight="1" x14ac:dyDescent="0.15">
      <c r="A10" s="52" t="s">
        <v>14</v>
      </c>
      <c r="B10" s="73">
        <v>46301</v>
      </c>
      <c r="C10" s="136" t="s">
        <v>171</v>
      </c>
      <c r="D10" s="15"/>
      <c r="E10" s="15"/>
      <c r="F10" s="15"/>
      <c r="G10" s="15"/>
      <c r="H10" s="15"/>
      <c r="I10" s="15"/>
      <c r="J10" s="15"/>
      <c r="L10" s="3"/>
      <c r="M10" s="3"/>
      <c r="N10" s="3"/>
      <c r="O10" s="3"/>
    </row>
    <row r="11" spans="1:15" s="56" customFormat="1" ht="20.100000000000001" customHeight="1" x14ac:dyDescent="0.15">
      <c r="A11" s="52" t="s">
        <v>15</v>
      </c>
      <c r="B11" s="73">
        <v>46302</v>
      </c>
      <c r="C11" s="136" t="s">
        <v>171</v>
      </c>
      <c r="D11" s="15"/>
      <c r="E11" s="15"/>
      <c r="F11" s="15"/>
      <c r="G11" s="15"/>
      <c r="H11" s="15"/>
      <c r="I11" s="15"/>
      <c r="J11" s="15"/>
      <c r="L11" s="3"/>
      <c r="M11" s="3"/>
      <c r="N11" s="3"/>
      <c r="O11" s="3"/>
    </row>
    <row r="12" spans="1:15" s="56" customFormat="1" ht="20.100000000000001" customHeight="1" x14ac:dyDescent="0.15">
      <c r="A12" s="52" t="s">
        <v>16</v>
      </c>
      <c r="B12" s="73">
        <v>46303</v>
      </c>
      <c r="C12" s="136" t="s">
        <v>172</v>
      </c>
      <c r="D12" s="15"/>
      <c r="E12" s="15"/>
      <c r="F12" s="15"/>
      <c r="G12" s="15"/>
      <c r="H12" s="15"/>
      <c r="I12" s="15"/>
      <c r="J12" s="15"/>
      <c r="L12" s="3"/>
      <c r="M12" s="3"/>
      <c r="N12" s="3"/>
      <c r="O12" s="3"/>
    </row>
    <row r="13" spans="1:15" s="56" customFormat="1" ht="20.100000000000001" customHeight="1" x14ac:dyDescent="0.15">
      <c r="A13" s="52" t="s">
        <v>17</v>
      </c>
      <c r="B13" s="73">
        <v>46304</v>
      </c>
      <c r="C13" s="136" t="s">
        <v>172</v>
      </c>
      <c r="D13" s="15"/>
      <c r="E13" s="15"/>
      <c r="F13" s="15"/>
      <c r="G13" s="15"/>
      <c r="H13" s="15"/>
      <c r="I13" s="15"/>
      <c r="J13" s="15"/>
      <c r="L13" s="3"/>
      <c r="M13" s="3"/>
      <c r="N13" s="3"/>
      <c r="O13" s="3"/>
    </row>
    <row r="14" spans="1:15" s="56" customFormat="1" ht="20.100000000000001" customHeight="1" x14ac:dyDescent="0.15">
      <c r="A14" s="52" t="s">
        <v>18</v>
      </c>
      <c r="B14" s="73">
        <v>46305</v>
      </c>
      <c r="C14" s="136" t="s">
        <v>174</v>
      </c>
      <c r="D14" s="15"/>
      <c r="E14" s="15"/>
      <c r="F14" s="15"/>
      <c r="G14" s="15"/>
      <c r="H14" s="15"/>
      <c r="I14" s="15"/>
      <c r="J14" s="15"/>
      <c r="L14" s="3"/>
      <c r="M14" s="3"/>
      <c r="N14" s="3"/>
      <c r="O14" s="3"/>
    </row>
    <row r="15" spans="1:15" s="56" customFormat="1" ht="20.100000000000001" customHeight="1" x14ac:dyDescent="0.15">
      <c r="A15" s="115" t="s">
        <v>19</v>
      </c>
      <c r="B15" s="125">
        <v>46306</v>
      </c>
      <c r="C15" s="139"/>
      <c r="D15" s="68"/>
      <c r="E15" s="68"/>
      <c r="F15" s="68"/>
      <c r="G15" s="68"/>
      <c r="H15" s="68"/>
      <c r="I15" s="68"/>
      <c r="J15" s="68"/>
      <c r="L15" s="55"/>
      <c r="M15" s="59"/>
      <c r="N15" s="3"/>
      <c r="O15" s="3"/>
    </row>
    <row r="16" spans="1:15" s="56" customFormat="1" ht="20.100000000000001" customHeight="1" x14ac:dyDescent="0.15">
      <c r="A16" s="115" t="s">
        <v>20</v>
      </c>
      <c r="B16" s="125">
        <v>46307</v>
      </c>
      <c r="C16" s="208" t="s">
        <v>220</v>
      </c>
      <c r="D16" s="68"/>
      <c r="E16" s="68"/>
      <c r="F16" s="68"/>
      <c r="G16" s="68"/>
      <c r="H16" s="68"/>
      <c r="I16" s="68"/>
      <c r="J16" s="68"/>
      <c r="L16" s="55"/>
      <c r="M16" s="3"/>
      <c r="N16" s="3"/>
      <c r="O16" s="3"/>
    </row>
    <row r="17" spans="1:15" s="56" customFormat="1" ht="20.100000000000001" customHeight="1" x14ac:dyDescent="0.15">
      <c r="A17" s="52" t="s">
        <v>21</v>
      </c>
      <c r="B17" s="73">
        <v>46308</v>
      </c>
      <c r="C17" s="209"/>
      <c r="D17" s="15"/>
      <c r="E17" s="15"/>
      <c r="F17" s="15"/>
      <c r="G17" s="15"/>
      <c r="H17" s="15"/>
      <c r="I17" s="15"/>
      <c r="J17" s="15"/>
      <c r="L17" s="59"/>
      <c r="M17" s="3"/>
      <c r="N17" s="3"/>
      <c r="O17" s="3"/>
    </row>
    <row r="18" spans="1:15" s="56" customFormat="1" ht="20.100000000000001" customHeight="1" x14ac:dyDescent="0.15">
      <c r="A18" s="52" t="s">
        <v>22</v>
      </c>
      <c r="B18" s="73">
        <v>46309</v>
      </c>
      <c r="C18" s="209"/>
      <c r="D18" s="15"/>
      <c r="E18" s="15"/>
      <c r="F18" s="15"/>
      <c r="G18" s="15"/>
      <c r="H18" s="15"/>
      <c r="I18" s="15"/>
      <c r="J18" s="15"/>
      <c r="L18" s="3"/>
      <c r="M18" s="3"/>
      <c r="N18" s="3"/>
      <c r="O18" s="3"/>
    </row>
    <row r="19" spans="1:15" s="56" customFormat="1" ht="20.100000000000001" customHeight="1" x14ac:dyDescent="0.15">
      <c r="A19" s="52" t="s">
        <v>23</v>
      </c>
      <c r="B19" s="73">
        <v>46310</v>
      </c>
      <c r="C19" s="136" t="s">
        <v>173</v>
      </c>
      <c r="D19" s="15"/>
      <c r="E19" s="15"/>
      <c r="F19" s="15"/>
      <c r="G19" s="15"/>
      <c r="H19" s="15"/>
      <c r="I19" s="15"/>
      <c r="J19" s="15"/>
      <c r="L19" s="3"/>
      <c r="M19" s="3"/>
      <c r="N19" s="3"/>
      <c r="O19" s="3"/>
    </row>
    <row r="20" spans="1:15" s="56" customFormat="1" ht="20.100000000000001" customHeight="1" x14ac:dyDescent="0.15">
      <c r="A20" s="52" t="s">
        <v>24</v>
      </c>
      <c r="B20" s="73">
        <v>46311</v>
      </c>
      <c r="C20" s="66"/>
      <c r="D20" s="15"/>
      <c r="E20" s="15"/>
      <c r="F20" s="15"/>
      <c r="G20" s="15"/>
      <c r="H20" s="15"/>
      <c r="I20" s="15"/>
      <c r="J20" s="15"/>
      <c r="L20" s="3"/>
      <c r="M20" s="3"/>
      <c r="N20" s="3"/>
      <c r="O20" s="3"/>
    </row>
    <row r="21" spans="1:15" s="56" customFormat="1" ht="20.100000000000001" customHeight="1" x14ac:dyDescent="0.15">
      <c r="A21" s="52" t="s">
        <v>25</v>
      </c>
      <c r="B21" s="73">
        <v>46312</v>
      </c>
      <c r="C21" s="136"/>
      <c r="D21" s="15"/>
      <c r="E21" s="15"/>
      <c r="F21" s="15"/>
      <c r="G21" s="15"/>
      <c r="H21" s="15"/>
      <c r="I21" s="15"/>
      <c r="J21" s="15"/>
      <c r="L21" s="3"/>
      <c r="M21" s="3"/>
      <c r="N21" s="3"/>
      <c r="O21" s="3"/>
    </row>
    <row r="22" spans="1:15" s="56" customFormat="1" ht="20.100000000000001" customHeight="1" x14ac:dyDescent="0.15">
      <c r="A22" s="115" t="s">
        <v>26</v>
      </c>
      <c r="B22" s="125">
        <v>46313</v>
      </c>
      <c r="C22" s="139"/>
      <c r="D22" s="68"/>
      <c r="E22" s="68"/>
      <c r="F22" s="68"/>
      <c r="G22" s="68"/>
      <c r="H22" s="68"/>
      <c r="I22" s="68"/>
      <c r="J22" s="68"/>
      <c r="L22" s="3"/>
      <c r="M22" s="3"/>
      <c r="N22" s="3"/>
      <c r="O22" s="3"/>
    </row>
    <row r="23" spans="1:15" s="56" customFormat="1" ht="20.100000000000001" customHeight="1" x14ac:dyDescent="0.15">
      <c r="A23" s="52" t="s">
        <v>27</v>
      </c>
      <c r="B23" s="73">
        <v>46314</v>
      </c>
      <c r="C23" s="136" t="s">
        <v>175</v>
      </c>
      <c r="D23" s="15"/>
      <c r="E23" s="15"/>
      <c r="F23" s="15"/>
      <c r="G23" s="15"/>
      <c r="H23" s="15"/>
      <c r="I23" s="15"/>
      <c r="J23" s="15"/>
      <c r="L23" s="3"/>
      <c r="M23" s="3"/>
      <c r="N23" s="3"/>
      <c r="O23" s="3"/>
    </row>
    <row r="24" spans="1:15" s="56" customFormat="1" ht="20.100000000000001" customHeight="1" x14ac:dyDescent="0.15">
      <c r="A24" s="52" t="s">
        <v>28</v>
      </c>
      <c r="B24" s="73">
        <v>46315</v>
      </c>
      <c r="C24" s="136" t="s">
        <v>175</v>
      </c>
      <c r="D24" s="15"/>
      <c r="E24" s="15"/>
      <c r="F24" s="15"/>
      <c r="G24" s="15"/>
      <c r="H24" s="15"/>
      <c r="I24" s="15"/>
      <c r="J24" s="15"/>
      <c r="L24" s="3"/>
      <c r="M24" s="3"/>
      <c r="N24" s="3"/>
      <c r="O24" s="3"/>
    </row>
    <row r="25" spans="1:15" s="56" customFormat="1" ht="20.100000000000001" customHeight="1" x14ac:dyDescent="0.15">
      <c r="A25" s="52" t="s">
        <v>29</v>
      </c>
      <c r="B25" s="73">
        <v>46316</v>
      </c>
      <c r="C25" s="136" t="s">
        <v>176</v>
      </c>
      <c r="D25" s="15"/>
      <c r="E25" s="15"/>
      <c r="F25" s="15"/>
      <c r="G25" s="15"/>
      <c r="H25" s="15"/>
      <c r="I25" s="15"/>
      <c r="J25" s="15"/>
      <c r="L25" s="3"/>
      <c r="M25" s="3"/>
      <c r="N25" s="3"/>
      <c r="O25" s="3"/>
    </row>
    <row r="26" spans="1:15" s="56" customFormat="1" ht="20.100000000000001" customHeight="1" x14ac:dyDescent="0.15">
      <c r="A26" s="52" t="s">
        <v>30</v>
      </c>
      <c r="B26" s="73">
        <v>46317</v>
      </c>
      <c r="C26" s="136"/>
      <c r="D26" s="15"/>
      <c r="E26" s="15"/>
      <c r="F26" s="15"/>
      <c r="G26" s="15"/>
      <c r="H26" s="15"/>
      <c r="I26" s="15"/>
      <c r="J26" s="15"/>
      <c r="L26" s="89"/>
      <c r="M26" s="3"/>
      <c r="N26" s="3"/>
      <c r="O26" s="3"/>
    </row>
    <row r="27" spans="1:15" s="56" customFormat="1" ht="20.100000000000001" customHeight="1" x14ac:dyDescent="0.15">
      <c r="A27" s="52" t="s">
        <v>31</v>
      </c>
      <c r="B27" s="73">
        <v>46318</v>
      </c>
      <c r="C27" s="148"/>
      <c r="D27" s="15"/>
      <c r="E27" s="15"/>
      <c r="F27" s="15"/>
      <c r="G27" s="15"/>
      <c r="H27" s="15"/>
      <c r="I27" s="15"/>
      <c r="J27" s="15"/>
      <c r="L27" s="89"/>
      <c r="M27" s="3"/>
      <c r="N27" s="3"/>
      <c r="O27" s="3"/>
    </row>
    <row r="28" spans="1:15" s="56" customFormat="1" ht="20.100000000000001" customHeight="1" x14ac:dyDescent="0.15">
      <c r="A28" s="52" t="s">
        <v>32</v>
      </c>
      <c r="B28" s="73">
        <v>46319</v>
      </c>
      <c r="C28" s="66"/>
      <c r="D28" s="15"/>
      <c r="E28" s="15"/>
      <c r="F28" s="15"/>
      <c r="G28" s="15"/>
      <c r="H28" s="15"/>
      <c r="I28" s="15"/>
      <c r="J28" s="15"/>
      <c r="L28" s="89"/>
      <c r="M28" s="88"/>
      <c r="N28" s="3"/>
      <c r="O28" s="3"/>
    </row>
    <row r="29" spans="1:15" s="56" customFormat="1" ht="20.100000000000001" customHeight="1" x14ac:dyDescent="0.15">
      <c r="A29" s="115" t="s">
        <v>33</v>
      </c>
      <c r="B29" s="125">
        <v>46320</v>
      </c>
      <c r="C29" s="139"/>
      <c r="D29" s="68"/>
      <c r="E29" s="68"/>
      <c r="F29" s="68"/>
      <c r="G29" s="68"/>
      <c r="H29" s="68"/>
      <c r="I29" s="68"/>
      <c r="J29" s="68"/>
      <c r="L29" s="3"/>
      <c r="M29" s="3"/>
      <c r="N29" s="3"/>
      <c r="O29" s="3"/>
    </row>
    <row r="30" spans="1:15" s="56" customFormat="1" ht="20.100000000000001" customHeight="1" x14ac:dyDescent="0.15">
      <c r="A30" s="52" t="s">
        <v>34</v>
      </c>
      <c r="B30" s="73">
        <v>46321</v>
      </c>
      <c r="C30" s="136" t="s">
        <v>196</v>
      </c>
      <c r="D30" s="15"/>
      <c r="E30" s="15"/>
      <c r="F30" s="15"/>
      <c r="G30" s="15"/>
      <c r="H30" s="15"/>
      <c r="I30" s="15"/>
      <c r="J30" s="15"/>
      <c r="L30" s="3"/>
      <c r="M30" s="3"/>
      <c r="N30" s="3"/>
      <c r="O30" s="3"/>
    </row>
    <row r="31" spans="1:15" s="56" customFormat="1" ht="20.100000000000001" customHeight="1" x14ac:dyDescent="0.15">
      <c r="A31" s="52" t="s">
        <v>35</v>
      </c>
      <c r="B31" s="73">
        <v>46322</v>
      </c>
      <c r="C31" s="136" t="s">
        <v>196</v>
      </c>
      <c r="D31" s="15"/>
      <c r="E31" s="15"/>
      <c r="F31" s="15"/>
      <c r="G31" s="15"/>
      <c r="H31" s="15"/>
      <c r="I31" s="15"/>
      <c r="J31" s="15"/>
      <c r="L31" s="3"/>
      <c r="M31" s="3"/>
      <c r="N31" s="3"/>
      <c r="O31" s="3"/>
    </row>
    <row r="32" spans="1:15" s="56" customFormat="1" ht="20.100000000000001" customHeight="1" x14ac:dyDescent="0.15">
      <c r="A32" s="52" t="s">
        <v>36</v>
      </c>
      <c r="B32" s="73">
        <v>46323</v>
      </c>
      <c r="C32" s="136" t="s">
        <v>196</v>
      </c>
      <c r="D32" s="15"/>
      <c r="E32" s="15"/>
      <c r="F32" s="15"/>
      <c r="G32" s="15"/>
      <c r="H32" s="15"/>
      <c r="I32" s="15"/>
      <c r="J32" s="15"/>
      <c r="L32" s="3"/>
      <c r="M32" s="3"/>
      <c r="N32" s="3"/>
      <c r="O32" s="3"/>
    </row>
    <row r="33" spans="1:15" s="56" customFormat="1" ht="20.100000000000001" customHeight="1" x14ac:dyDescent="0.15">
      <c r="A33" s="52" t="s">
        <v>37</v>
      </c>
      <c r="B33" s="73">
        <v>46324</v>
      </c>
      <c r="C33" s="136"/>
      <c r="D33" s="15"/>
      <c r="E33" s="15"/>
      <c r="F33" s="15"/>
      <c r="G33" s="15"/>
      <c r="H33" s="15"/>
      <c r="I33" s="15"/>
      <c r="J33" s="15"/>
      <c r="L33" s="3"/>
      <c r="M33" s="3"/>
      <c r="N33" s="3"/>
      <c r="O33" s="3"/>
    </row>
    <row r="34" spans="1:15" s="56" customFormat="1" ht="20.100000000000001" customHeight="1" x14ac:dyDescent="0.15">
      <c r="A34" s="52" t="s">
        <v>38</v>
      </c>
      <c r="B34" s="73">
        <v>46325</v>
      </c>
      <c r="C34" s="136"/>
      <c r="D34" s="15"/>
      <c r="E34" s="15"/>
      <c r="F34" s="15"/>
      <c r="G34" s="15"/>
      <c r="H34" s="15"/>
      <c r="I34" s="15"/>
      <c r="J34" s="15"/>
      <c r="L34" s="3"/>
      <c r="M34" s="3"/>
      <c r="N34" s="3"/>
      <c r="O34" s="3"/>
    </row>
    <row r="35" spans="1:15" s="56" customFormat="1" ht="20.100000000000001" customHeight="1" x14ac:dyDescent="0.15">
      <c r="A35" s="52" t="s">
        <v>39</v>
      </c>
      <c r="B35" s="73">
        <v>46326</v>
      </c>
      <c r="C35" s="136"/>
      <c r="D35" s="15"/>
      <c r="E35" s="15"/>
      <c r="F35" s="15"/>
      <c r="G35" s="15"/>
      <c r="H35" s="15"/>
      <c r="I35" s="15"/>
      <c r="J35" s="15"/>
      <c r="L35" s="3"/>
      <c r="M35" s="3"/>
      <c r="N35" s="3"/>
      <c r="O35" s="3"/>
    </row>
    <row r="36" spans="1:15" s="56" customFormat="1" ht="20.100000000000001" customHeight="1" x14ac:dyDescent="0.15">
      <c r="A36" s="253" t="s">
        <v>60</v>
      </c>
      <c r="B36" s="254"/>
      <c r="C36" s="52"/>
      <c r="D36" s="15">
        <f>SUM(D5:D35)</f>
        <v>0</v>
      </c>
      <c r="E36" s="15" t="e">
        <f>AVERAGE(E5:E35)</f>
        <v>#DIV/0!</v>
      </c>
      <c r="F36" s="15">
        <f>SUM(F5:F35)</f>
        <v>0</v>
      </c>
      <c r="G36" s="15" t="e">
        <f>AVERAGE(G5:G35)</f>
        <v>#DIV/0!</v>
      </c>
      <c r="H36" s="15">
        <f>D36+F36</f>
        <v>0</v>
      </c>
      <c r="I36" s="15" t="e">
        <f>SUMPRODUCT(H5:H35,I5:I35)/H36</f>
        <v>#DIV/0!</v>
      </c>
      <c r="J36" s="15"/>
      <c r="L36" s="3"/>
      <c r="M36" s="3"/>
      <c r="N36" s="3"/>
      <c r="O36" s="3"/>
    </row>
    <row r="37" spans="1:15" s="56" customFormat="1" ht="12" x14ac:dyDescent="0.15">
      <c r="B37" s="11"/>
      <c r="C37" s="50" t="s">
        <v>161</v>
      </c>
      <c r="D37" s="12"/>
      <c r="E37" s="12"/>
      <c r="F37" s="12"/>
      <c r="G37" s="12"/>
      <c r="H37" s="32" t="s">
        <v>97</v>
      </c>
      <c r="I37" s="12" t="e">
        <f>I36/1.1</f>
        <v>#DIV/0!</v>
      </c>
      <c r="J37" s="12"/>
    </row>
    <row r="38" spans="1:15" s="56" customFormat="1" ht="12.75" thickBot="1" x14ac:dyDescent="0.2">
      <c r="A38" s="16"/>
      <c r="B38" s="9"/>
      <c r="C38" s="13" t="s">
        <v>186</v>
      </c>
      <c r="D38" s="10"/>
      <c r="E38" s="10"/>
      <c r="F38" s="10"/>
      <c r="G38" s="10"/>
      <c r="H38" s="10"/>
      <c r="I38" s="10"/>
      <c r="J38" s="10"/>
    </row>
    <row r="39" spans="1:15" s="56" customFormat="1" ht="14.45" customHeight="1" thickTop="1" thickBot="1" x14ac:dyDescent="0.2">
      <c r="B39" s="11"/>
      <c r="C39" s="11"/>
      <c r="E39" s="36"/>
      <c r="F39" s="36"/>
      <c r="G39" s="36"/>
      <c r="H39" s="228" t="s">
        <v>100</v>
      </c>
      <c r="I39" s="229"/>
      <c r="J39" s="36"/>
    </row>
    <row r="40" spans="1:15" s="56" customFormat="1" ht="14.45" customHeight="1" thickTop="1" x14ac:dyDescent="0.15">
      <c r="B40" s="50"/>
      <c r="C40" s="11"/>
      <c r="D40" s="46"/>
      <c r="E40" s="233"/>
      <c r="F40" s="233"/>
      <c r="H40" s="57" t="s">
        <v>99</v>
      </c>
      <c r="I40" s="76" t="s">
        <v>148</v>
      </c>
    </row>
    <row r="41" spans="1:15" s="56" customFormat="1" ht="14.45" customHeight="1" x14ac:dyDescent="0.15">
      <c r="B41" s="11"/>
      <c r="C41" s="11"/>
      <c r="D41" s="46"/>
      <c r="E41" s="234"/>
      <c r="F41" s="234"/>
      <c r="G41" s="37"/>
      <c r="H41" s="31" t="s">
        <v>98</v>
      </c>
      <c r="I41" s="35" t="e">
        <f>I36</f>
        <v>#DIV/0!</v>
      </c>
      <c r="J41" s="36"/>
    </row>
    <row r="42" spans="1:15" s="56" customFormat="1" ht="14.45" customHeight="1" x14ac:dyDescent="0.15">
      <c r="B42" s="11"/>
      <c r="C42" s="11"/>
      <c r="D42" s="46"/>
      <c r="E42" s="234"/>
      <c r="F42" s="234"/>
      <c r="G42" s="38"/>
      <c r="H42" s="30" t="s">
        <v>44</v>
      </c>
      <c r="I42" s="33">
        <f>'9月'!I35</f>
        <v>806538.99235851772</v>
      </c>
      <c r="J42" s="36"/>
    </row>
    <row r="43" spans="1:15" s="56" customFormat="1" ht="14.45" customHeight="1" thickBot="1" x14ac:dyDescent="0.2">
      <c r="B43" s="11"/>
      <c r="C43" s="11"/>
      <c r="D43" s="46"/>
      <c r="E43" s="234"/>
      <c r="F43" s="234"/>
      <c r="G43" s="36"/>
      <c r="H43" s="29" t="s">
        <v>45</v>
      </c>
      <c r="I43" s="34" t="e">
        <f>I41-I42</f>
        <v>#DIV/0!</v>
      </c>
      <c r="J43" s="36"/>
    </row>
    <row r="44" spans="1:15" s="56" customFormat="1" thickTop="1" thickBot="1" x14ac:dyDescent="0.2">
      <c r="B44" s="11"/>
      <c r="C44" s="11"/>
      <c r="D44" s="12"/>
      <c r="E44" s="12"/>
      <c r="J44" s="12"/>
    </row>
    <row r="45" spans="1:15" s="56" customFormat="1" thickTop="1" thickBot="1" x14ac:dyDescent="0.2">
      <c r="E45" s="12"/>
      <c r="F45" s="12"/>
      <c r="G45" s="12"/>
      <c r="H45" s="228" t="s">
        <v>101</v>
      </c>
      <c r="I45" s="229"/>
    </row>
    <row r="46" spans="1:15" ht="14.25" thickTop="1" x14ac:dyDescent="0.15">
      <c r="H46" s="57" t="s">
        <v>99</v>
      </c>
      <c r="I46" s="76" t="s">
        <v>148</v>
      </c>
    </row>
    <row r="47" spans="1:15" x14ac:dyDescent="0.15">
      <c r="H47" s="31" t="s">
        <v>98</v>
      </c>
      <c r="I47" s="35" t="e">
        <f>I41</f>
        <v>#DIV/0!</v>
      </c>
    </row>
    <row r="48" spans="1:15" x14ac:dyDescent="0.15">
      <c r="H48" s="30" t="s">
        <v>77</v>
      </c>
      <c r="I48" s="33">
        <f>SUM(価格推移グラフ!EY5)</f>
        <v>650081.68612493086</v>
      </c>
    </row>
    <row r="49" spans="8:9" ht="14.25" thickBot="1" x14ac:dyDescent="0.2">
      <c r="H49" s="29" t="s">
        <v>78</v>
      </c>
      <c r="I49" s="34" t="e">
        <f>I47-I48</f>
        <v>#DIV/0!</v>
      </c>
    </row>
    <row r="50" spans="8:9" ht="14.25" thickTop="1" x14ac:dyDescent="0.15"/>
  </sheetData>
  <mergeCells count="14">
    <mergeCell ref="H45:I45"/>
    <mergeCell ref="E40:F40"/>
    <mergeCell ref="E41:F41"/>
    <mergeCell ref="E42:F42"/>
    <mergeCell ref="E43:F43"/>
    <mergeCell ref="H39:I39"/>
    <mergeCell ref="J3:J4"/>
    <mergeCell ref="F3:G3"/>
    <mergeCell ref="H3:I3"/>
    <mergeCell ref="A36:B36"/>
    <mergeCell ref="A3:A4"/>
    <mergeCell ref="B3:B4"/>
    <mergeCell ref="C3:C4"/>
    <mergeCell ref="D3:E3"/>
  </mergeCells>
  <phoneticPr fontId="1"/>
  <pageMargins left="0.7" right="0.7" top="0.75" bottom="0.75" header="0.3" footer="0.3"/>
  <pageSetup paperSize="9" scale="8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249977111117893"/>
    <pageSetUpPr fitToPage="1"/>
  </sheetPr>
  <dimension ref="A1:N50"/>
  <sheetViews>
    <sheetView zoomScaleNormal="100" workbookViewId="0">
      <selection activeCell="M22" sqref="M22"/>
    </sheetView>
  </sheetViews>
  <sheetFormatPr defaultColWidth="8.875" defaultRowHeight="13.5" x14ac:dyDescent="0.15"/>
  <cols>
    <col min="1" max="1" width="7.5" style="56" customWidth="1"/>
    <col min="2" max="2" width="7.875" style="56" customWidth="1"/>
    <col min="3" max="3" width="11.375" style="56" customWidth="1"/>
    <col min="4" max="4" width="9" style="56"/>
    <col min="5" max="5" width="9" style="56" customWidth="1"/>
    <col min="6" max="6" width="9" style="56"/>
    <col min="7" max="7" width="9.25" style="56" bestFit="1" customWidth="1"/>
    <col min="8" max="10" width="9" style="56"/>
    <col min="11" max="11" width="11.625" style="3" customWidth="1"/>
    <col min="12" max="12" width="8.875" style="3"/>
    <col min="13" max="13" width="10.5" style="3" bestFit="1" customWidth="1"/>
    <col min="14" max="16384" width="8.875" style="3"/>
  </cols>
  <sheetData>
    <row r="1" spans="1:14" ht="20.100000000000001" customHeight="1" x14ac:dyDescent="0.15">
      <c r="A1" s="58" t="s">
        <v>159</v>
      </c>
      <c r="B1" s="19"/>
      <c r="C1" s="19" t="s">
        <v>46</v>
      </c>
      <c r="D1" s="20"/>
      <c r="E1" s="20" t="s">
        <v>41</v>
      </c>
      <c r="F1" s="20"/>
      <c r="G1" s="12"/>
      <c r="H1" s="12"/>
      <c r="I1" s="12" t="s">
        <v>42</v>
      </c>
      <c r="J1" s="12"/>
    </row>
    <row r="2" spans="1:14" ht="20.100000000000001" customHeight="1" x14ac:dyDescent="0.15">
      <c r="B2" s="11"/>
      <c r="C2" s="11"/>
      <c r="D2" s="12"/>
      <c r="E2" s="12"/>
      <c r="F2" s="12"/>
      <c r="G2" s="12"/>
      <c r="H2" s="12"/>
      <c r="I2" s="14" t="s">
        <v>43</v>
      </c>
      <c r="J2" s="12"/>
    </row>
    <row r="3" spans="1:14" ht="20.100000000000001" customHeight="1" x14ac:dyDescent="0.15">
      <c r="A3" s="230" t="s">
        <v>0</v>
      </c>
      <c r="B3" s="230" t="s">
        <v>1</v>
      </c>
      <c r="C3" s="230" t="s">
        <v>2</v>
      </c>
      <c r="D3" s="230" t="s">
        <v>5</v>
      </c>
      <c r="E3" s="230"/>
      <c r="F3" s="230" t="s">
        <v>6</v>
      </c>
      <c r="G3" s="230"/>
      <c r="H3" s="230" t="s">
        <v>7</v>
      </c>
      <c r="I3" s="230"/>
      <c r="J3" s="230" t="s">
        <v>8</v>
      </c>
    </row>
    <row r="4" spans="1:14" ht="20.100000000000001" customHeight="1" x14ac:dyDescent="0.15">
      <c r="A4" s="230"/>
      <c r="B4" s="230"/>
      <c r="C4" s="230"/>
      <c r="D4" s="23" t="s">
        <v>3</v>
      </c>
      <c r="E4" s="23" t="s">
        <v>4</v>
      </c>
      <c r="F4" s="23" t="s">
        <v>3</v>
      </c>
      <c r="G4" s="23" t="s">
        <v>4</v>
      </c>
      <c r="H4" s="23" t="s">
        <v>3</v>
      </c>
      <c r="I4" s="23" t="s">
        <v>4</v>
      </c>
      <c r="J4" s="230"/>
    </row>
    <row r="5" spans="1:14" ht="20.100000000000001" customHeight="1" x14ac:dyDescent="0.15">
      <c r="A5" s="23" t="s">
        <v>9</v>
      </c>
      <c r="B5" s="74">
        <v>46327</v>
      </c>
      <c r="C5" s="138"/>
      <c r="D5" s="15"/>
      <c r="E5" s="15"/>
      <c r="F5" s="15"/>
      <c r="G5" s="15"/>
      <c r="H5" s="15"/>
      <c r="I5" s="15"/>
      <c r="J5" s="15"/>
    </row>
    <row r="6" spans="1:14" ht="23.25" customHeight="1" x14ac:dyDescent="0.15">
      <c r="A6" s="23" t="s">
        <v>10</v>
      </c>
      <c r="B6" s="74">
        <v>46328</v>
      </c>
      <c r="C6" s="138" t="s">
        <v>212</v>
      </c>
      <c r="D6" s="15"/>
      <c r="E6" s="15"/>
      <c r="F6" s="15"/>
      <c r="G6" s="15"/>
      <c r="H6" s="15"/>
      <c r="I6" s="15"/>
      <c r="J6" s="15"/>
      <c r="K6" s="66"/>
    </row>
    <row r="7" spans="1:14" ht="19.899999999999999" customHeight="1" x14ac:dyDescent="0.15">
      <c r="A7" s="23" t="s">
        <v>11</v>
      </c>
      <c r="B7" s="74">
        <v>46329</v>
      </c>
      <c r="C7" s="138" t="s">
        <v>224</v>
      </c>
      <c r="D7" s="15"/>
      <c r="E7" s="15"/>
      <c r="F7" s="15"/>
      <c r="G7" s="15"/>
      <c r="H7" s="15"/>
      <c r="I7" s="15"/>
      <c r="J7" s="15"/>
    </row>
    <row r="8" spans="1:14" ht="20.100000000000001" customHeight="1" x14ac:dyDescent="0.15">
      <c r="A8" s="23" t="s">
        <v>12</v>
      </c>
      <c r="B8" s="74">
        <v>46330</v>
      </c>
      <c r="C8" s="172" t="s">
        <v>165</v>
      </c>
      <c r="D8" s="15"/>
      <c r="E8" s="15"/>
      <c r="F8" s="15"/>
      <c r="G8" s="15"/>
      <c r="H8" s="15"/>
      <c r="I8" s="15"/>
      <c r="J8" s="15"/>
    </row>
    <row r="9" spans="1:14" ht="20.100000000000001" customHeight="1" x14ac:dyDescent="0.15">
      <c r="A9" s="23" t="s">
        <v>13</v>
      </c>
      <c r="B9" s="74">
        <v>46331</v>
      </c>
      <c r="C9" s="172" t="s">
        <v>166</v>
      </c>
      <c r="D9" s="15"/>
      <c r="E9" s="15"/>
      <c r="F9" s="15"/>
      <c r="G9" s="15"/>
      <c r="H9" s="15"/>
      <c r="I9" s="15"/>
      <c r="J9" s="15"/>
    </row>
    <row r="10" spans="1:14" ht="20.100000000000001" customHeight="1" x14ac:dyDescent="0.15">
      <c r="A10" s="23" t="s">
        <v>14</v>
      </c>
      <c r="B10" s="74">
        <v>46332</v>
      </c>
      <c r="C10" s="172" t="s">
        <v>209</v>
      </c>
      <c r="D10" s="15"/>
      <c r="E10" s="15"/>
      <c r="F10" s="15"/>
      <c r="G10" s="15"/>
      <c r="H10" s="15"/>
      <c r="I10" s="15"/>
      <c r="J10" s="15"/>
      <c r="K10" s="59"/>
    </row>
    <row r="11" spans="1:14" ht="20.100000000000001" customHeight="1" x14ac:dyDescent="0.15">
      <c r="A11" s="63" t="s">
        <v>94</v>
      </c>
      <c r="B11" s="74">
        <v>46333</v>
      </c>
      <c r="C11" s="172" t="s">
        <v>183</v>
      </c>
      <c r="D11" s="15"/>
      <c r="E11" s="15"/>
      <c r="F11" s="15"/>
      <c r="G11" s="15"/>
      <c r="H11" s="15"/>
      <c r="I11" s="15"/>
      <c r="J11" s="15"/>
      <c r="L11" s="60"/>
      <c r="M11" s="60"/>
      <c r="N11" s="60"/>
    </row>
    <row r="12" spans="1:14" ht="20.100000000000001" customHeight="1" x14ac:dyDescent="0.15">
      <c r="A12" s="127" t="s">
        <v>16</v>
      </c>
      <c r="B12" s="128">
        <v>46334</v>
      </c>
      <c r="C12" s="139" t="s">
        <v>221</v>
      </c>
      <c r="D12" s="68"/>
      <c r="E12" s="68"/>
      <c r="F12" s="68"/>
      <c r="G12" s="68"/>
      <c r="H12" s="68"/>
      <c r="I12" s="68"/>
      <c r="J12" s="68"/>
      <c r="L12" s="59"/>
      <c r="M12" s="88"/>
      <c r="N12" s="88"/>
    </row>
    <row r="13" spans="1:14" ht="20.100000000000001" customHeight="1" x14ac:dyDescent="0.15">
      <c r="A13" s="63" t="s">
        <v>95</v>
      </c>
      <c r="B13" s="74">
        <v>46335</v>
      </c>
      <c r="C13" s="136"/>
      <c r="D13" s="15"/>
      <c r="E13" s="15"/>
      <c r="F13" s="15"/>
      <c r="G13" s="15"/>
      <c r="H13" s="15"/>
      <c r="I13" s="15"/>
      <c r="J13" s="15"/>
      <c r="K13" s="3" t="s">
        <v>222</v>
      </c>
    </row>
    <row r="14" spans="1:14" ht="20.100000000000001" customHeight="1" x14ac:dyDescent="0.15">
      <c r="A14" s="63" t="s">
        <v>89</v>
      </c>
      <c r="B14" s="74">
        <v>46336</v>
      </c>
      <c r="C14" s="142" t="s">
        <v>174</v>
      </c>
      <c r="D14" s="15"/>
      <c r="E14" s="15"/>
      <c r="F14" s="15"/>
      <c r="G14" s="15"/>
      <c r="H14" s="15"/>
      <c r="I14" s="15"/>
      <c r="J14" s="15"/>
    </row>
    <row r="15" spans="1:14" ht="20.100000000000001" customHeight="1" x14ac:dyDescent="0.15">
      <c r="A15" s="63" t="s">
        <v>114</v>
      </c>
      <c r="B15" s="74">
        <v>46337</v>
      </c>
      <c r="C15" s="172" t="s">
        <v>172</v>
      </c>
      <c r="D15" s="15"/>
      <c r="E15" s="15"/>
      <c r="F15" s="15"/>
      <c r="G15" s="15"/>
      <c r="H15" s="15"/>
      <c r="I15" s="15"/>
      <c r="J15" s="15"/>
    </row>
    <row r="16" spans="1:14" ht="20.100000000000001" customHeight="1" x14ac:dyDescent="0.15">
      <c r="A16" s="63" t="s">
        <v>115</v>
      </c>
      <c r="B16" s="74">
        <v>46338</v>
      </c>
      <c r="C16" s="172" t="s">
        <v>172</v>
      </c>
      <c r="D16" s="15"/>
      <c r="E16" s="15"/>
      <c r="F16" s="15"/>
      <c r="G16" s="15"/>
      <c r="H16" s="15"/>
      <c r="I16" s="15"/>
      <c r="J16" s="15"/>
    </row>
    <row r="17" spans="1:14" ht="20.100000000000001" customHeight="1" x14ac:dyDescent="0.15">
      <c r="A17" s="23" t="s">
        <v>21</v>
      </c>
      <c r="B17" s="74">
        <v>46339</v>
      </c>
      <c r="C17" s="172" t="s">
        <v>171</v>
      </c>
      <c r="D17" s="15"/>
      <c r="E17" s="15"/>
      <c r="F17" s="15"/>
      <c r="G17" s="15"/>
      <c r="H17" s="15"/>
      <c r="I17" s="15"/>
      <c r="J17" s="15"/>
    </row>
    <row r="18" spans="1:14" ht="20.100000000000001" customHeight="1" x14ac:dyDescent="0.15">
      <c r="A18" s="23" t="s">
        <v>22</v>
      </c>
      <c r="B18" s="74">
        <v>46340</v>
      </c>
      <c r="C18" s="172" t="s">
        <v>171</v>
      </c>
      <c r="D18" s="15"/>
      <c r="E18" s="15"/>
      <c r="F18" s="15"/>
      <c r="G18" s="15"/>
      <c r="H18" s="15"/>
      <c r="I18" s="15"/>
      <c r="J18" s="15"/>
    </row>
    <row r="19" spans="1:14" ht="20.100000000000001" customHeight="1" x14ac:dyDescent="0.15">
      <c r="A19" s="126" t="s">
        <v>23</v>
      </c>
      <c r="B19" s="128">
        <v>46341</v>
      </c>
      <c r="C19" s="211"/>
      <c r="D19" s="68"/>
      <c r="E19" s="68"/>
      <c r="F19" s="68"/>
      <c r="G19" s="68"/>
      <c r="H19" s="68"/>
      <c r="I19" s="68"/>
      <c r="J19" s="68"/>
    </row>
    <row r="20" spans="1:14" ht="19.899999999999999" customHeight="1" x14ac:dyDescent="0.15">
      <c r="A20" s="23" t="s">
        <v>24</v>
      </c>
      <c r="B20" s="74">
        <v>46342</v>
      </c>
      <c r="C20" s="172"/>
      <c r="D20" s="15"/>
      <c r="E20" s="15"/>
      <c r="F20" s="15"/>
      <c r="G20" s="15"/>
      <c r="H20" s="15"/>
      <c r="I20" s="15"/>
      <c r="J20" s="15"/>
    </row>
    <row r="21" spans="1:14" ht="20.100000000000001" customHeight="1" x14ac:dyDescent="0.15">
      <c r="A21" s="23" t="s">
        <v>25</v>
      </c>
      <c r="B21" s="74">
        <v>46343</v>
      </c>
      <c r="C21" s="172" t="s">
        <v>173</v>
      </c>
      <c r="D21" s="15"/>
      <c r="E21" s="15"/>
      <c r="F21" s="15"/>
      <c r="G21" s="15"/>
      <c r="H21" s="15"/>
      <c r="I21" s="15"/>
      <c r="J21" s="15"/>
      <c r="K21" s="66"/>
    </row>
    <row r="22" spans="1:14" ht="20.100000000000001" customHeight="1" x14ac:dyDescent="0.15">
      <c r="A22" s="23" t="s">
        <v>26</v>
      </c>
      <c r="B22" s="74">
        <v>46344</v>
      </c>
      <c r="C22" s="172" t="s">
        <v>175</v>
      </c>
      <c r="D22" s="15"/>
      <c r="E22" s="15"/>
      <c r="F22" s="15"/>
      <c r="G22" s="15"/>
      <c r="H22" s="15"/>
      <c r="I22" s="15"/>
      <c r="J22" s="15"/>
    </row>
    <row r="23" spans="1:14" ht="20.100000000000001" customHeight="1" x14ac:dyDescent="0.15">
      <c r="A23" s="23" t="s">
        <v>27</v>
      </c>
      <c r="B23" s="74">
        <v>46345</v>
      </c>
      <c r="C23" s="172" t="s">
        <v>175</v>
      </c>
      <c r="D23" s="15"/>
      <c r="E23" s="15"/>
      <c r="F23" s="15"/>
      <c r="G23" s="15"/>
      <c r="H23" s="15"/>
      <c r="I23" s="15"/>
      <c r="J23" s="15"/>
      <c r="N23" s="55"/>
    </row>
    <row r="24" spans="1:14" ht="20.100000000000001" customHeight="1" x14ac:dyDescent="0.15">
      <c r="A24" s="23" t="s">
        <v>28</v>
      </c>
      <c r="B24" s="74">
        <v>46346</v>
      </c>
      <c r="C24" s="172" t="s">
        <v>176</v>
      </c>
      <c r="D24" s="15"/>
      <c r="E24" s="15"/>
      <c r="F24" s="15"/>
      <c r="G24" s="15"/>
      <c r="H24" s="15"/>
      <c r="I24" s="15"/>
      <c r="J24" s="15"/>
      <c r="L24" s="88"/>
      <c r="M24" s="88"/>
      <c r="N24" s="88"/>
    </row>
    <row r="25" spans="1:14" ht="20.100000000000001" customHeight="1" x14ac:dyDescent="0.15">
      <c r="A25" s="23" t="s">
        <v>29</v>
      </c>
      <c r="B25" s="74">
        <v>46347</v>
      </c>
      <c r="C25" s="172"/>
      <c r="D25" s="15"/>
      <c r="E25" s="15"/>
      <c r="F25" s="15"/>
      <c r="G25" s="15"/>
      <c r="H25" s="15"/>
      <c r="I25" s="15"/>
      <c r="J25" s="15"/>
    </row>
    <row r="26" spans="1:14" ht="20.100000000000001" customHeight="1" x14ac:dyDescent="0.15">
      <c r="A26" s="126" t="s">
        <v>135</v>
      </c>
      <c r="B26" s="128">
        <v>46348</v>
      </c>
      <c r="C26" s="173"/>
      <c r="D26" s="68"/>
      <c r="E26" s="68"/>
      <c r="F26" s="68"/>
      <c r="G26" s="68"/>
      <c r="H26" s="68"/>
      <c r="I26" s="68"/>
      <c r="J26" s="68"/>
      <c r="L26" s="59"/>
    </row>
    <row r="27" spans="1:14" ht="20.100000000000001" customHeight="1" x14ac:dyDescent="0.15">
      <c r="A27" s="126" t="s">
        <v>126</v>
      </c>
      <c r="B27" s="128">
        <v>46349</v>
      </c>
      <c r="C27" s="212" t="s">
        <v>223</v>
      </c>
      <c r="D27" s="68"/>
      <c r="E27" s="68"/>
      <c r="F27" s="68"/>
      <c r="G27" s="68"/>
      <c r="H27" s="68"/>
      <c r="I27" s="68"/>
      <c r="J27" s="68"/>
    </row>
    <row r="28" spans="1:14" ht="20.100000000000001" customHeight="1" x14ac:dyDescent="0.15">
      <c r="A28" s="23" t="s">
        <v>32</v>
      </c>
      <c r="B28" s="74">
        <v>46350</v>
      </c>
      <c r="C28" s="213" t="s">
        <v>177</v>
      </c>
      <c r="D28" s="15"/>
      <c r="E28" s="15"/>
      <c r="F28" s="15"/>
      <c r="G28" s="15"/>
      <c r="H28" s="15"/>
      <c r="I28" s="15"/>
      <c r="J28" s="15"/>
    </row>
    <row r="29" spans="1:14" ht="20.100000000000001" customHeight="1" x14ac:dyDescent="0.15">
      <c r="A29" s="23" t="s">
        <v>33</v>
      </c>
      <c r="B29" s="74">
        <v>46351</v>
      </c>
      <c r="C29" s="172" t="s">
        <v>178</v>
      </c>
      <c r="D29" s="15"/>
      <c r="E29" s="15"/>
      <c r="F29" s="15"/>
      <c r="G29" s="15"/>
      <c r="H29" s="15"/>
      <c r="I29" s="15"/>
      <c r="J29" s="15"/>
    </row>
    <row r="30" spans="1:14" ht="20.100000000000001" customHeight="1" x14ac:dyDescent="0.15">
      <c r="A30" s="23" t="s">
        <v>34</v>
      </c>
      <c r="B30" s="74">
        <v>46352</v>
      </c>
      <c r="C30" s="172" t="s">
        <v>178</v>
      </c>
      <c r="D30" s="15"/>
      <c r="E30" s="15"/>
      <c r="F30" s="15"/>
      <c r="G30" s="15"/>
      <c r="H30" s="15"/>
      <c r="I30" s="15"/>
      <c r="J30" s="15"/>
    </row>
    <row r="31" spans="1:14" ht="20.100000000000001" customHeight="1" x14ac:dyDescent="0.15">
      <c r="A31" s="23" t="s">
        <v>35</v>
      </c>
      <c r="B31" s="74">
        <v>46353</v>
      </c>
      <c r="C31" s="172" t="s">
        <v>178</v>
      </c>
      <c r="D31" s="15"/>
      <c r="E31" s="15"/>
      <c r="F31" s="15"/>
      <c r="G31" s="15"/>
      <c r="H31" s="15"/>
      <c r="I31" s="15"/>
      <c r="J31" s="15"/>
    </row>
    <row r="32" spans="1:14" ht="20.100000000000001" customHeight="1" x14ac:dyDescent="0.15">
      <c r="A32" s="23" t="s">
        <v>36</v>
      </c>
      <c r="B32" s="74">
        <v>46354</v>
      </c>
      <c r="C32" s="66"/>
      <c r="D32" s="15"/>
      <c r="E32" s="15"/>
      <c r="F32" s="15"/>
      <c r="G32" s="15"/>
      <c r="H32" s="15"/>
      <c r="I32" s="15"/>
      <c r="J32" s="15"/>
    </row>
    <row r="33" spans="1:13" ht="20.100000000000001" customHeight="1" x14ac:dyDescent="0.15">
      <c r="A33" s="126" t="s">
        <v>136</v>
      </c>
      <c r="B33" s="128">
        <v>46355</v>
      </c>
      <c r="C33" s="211"/>
      <c r="D33" s="68"/>
      <c r="E33" s="68"/>
      <c r="F33" s="68"/>
      <c r="G33" s="68"/>
      <c r="H33" s="68"/>
      <c r="I33" s="68"/>
      <c r="J33" s="68"/>
    </row>
    <row r="34" spans="1:13" ht="20.100000000000001" customHeight="1" x14ac:dyDescent="0.15">
      <c r="A34" s="23" t="s">
        <v>38</v>
      </c>
      <c r="B34" s="74">
        <v>46356</v>
      </c>
      <c r="C34" s="148"/>
      <c r="D34" s="15"/>
      <c r="E34" s="15"/>
      <c r="F34" s="15"/>
      <c r="G34" s="15"/>
      <c r="H34" s="15"/>
      <c r="I34" s="15"/>
      <c r="J34" s="15"/>
    </row>
    <row r="35" spans="1:13" ht="20.100000000000001" customHeight="1" x14ac:dyDescent="0.15">
      <c r="A35" s="255" t="s">
        <v>82</v>
      </c>
      <c r="B35" s="256"/>
      <c r="C35" s="172"/>
      <c r="D35" s="62">
        <f>SUM(D5:D34)</f>
        <v>0</v>
      </c>
      <c r="E35" s="62" t="e">
        <f>AVERAGE(E5:E34)</f>
        <v>#DIV/0!</v>
      </c>
      <c r="F35" s="62">
        <f>SUM(F5:F34)</f>
        <v>0</v>
      </c>
      <c r="G35" s="62" t="e">
        <f>AVERAGE(G5:G34)</f>
        <v>#DIV/0!</v>
      </c>
      <c r="H35" s="62">
        <f>D35+F35</f>
        <v>0</v>
      </c>
      <c r="I35" s="15" t="e">
        <f>SUMPRODUCT(H4:H34,I4:I34)/H35</f>
        <v>#DIV/0!</v>
      </c>
      <c r="J35" s="23"/>
      <c r="M35" s="59"/>
    </row>
    <row r="36" spans="1:13" x14ac:dyDescent="0.15">
      <c r="B36" s="11"/>
      <c r="C36" s="50" t="s">
        <v>161</v>
      </c>
      <c r="D36" s="12"/>
      <c r="E36" s="12"/>
      <c r="F36" s="12"/>
      <c r="G36" s="12"/>
      <c r="H36" s="32" t="s">
        <v>97</v>
      </c>
      <c r="I36" s="12" t="e">
        <f>I35/1.1</f>
        <v>#DIV/0!</v>
      </c>
      <c r="J36" s="12"/>
    </row>
    <row r="37" spans="1:13" x14ac:dyDescent="0.15">
      <c r="B37" s="11"/>
      <c r="C37" s="13" t="s">
        <v>186</v>
      </c>
      <c r="D37" s="12"/>
      <c r="E37" s="12"/>
      <c r="F37" s="12"/>
      <c r="G37" s="12"/>
      <c r="H37" s="32"/>
      <c r="I37" s="12"/>
      <c r="J37" s="12"/>
    </row>
    <row r="38" spans="1:13" ht="14.25" thickBot="1" x14ac:dyDescent="0.2">
      <c r="B38" s="50"/>
      <c r="C38" s="11"/>
      <c r="D38" s="12"/>
      <c r="E38" s="12"/>
      <c r="F38" s="12"/>
      <c r="G38" s="12"/>
      <c r="H38" s="12"/>
      <c r="I38" s="12"/>
      <c r="J38" s="12"/>
    </row>
    <row r="39" spans="1:13" ht="14.45" customHeight="1" thickTop="1" thickBot="1" x14ac:dyDescent="0.2">
      <c r="B39" s="11"/>
      <c r="C39" s="11"/>
      <c r="E39" s="36"/>
      <c r="F39" s="36"/>
      <c r="G39" s="36"/>
      <c r="H39" s="228" t="s">
        <v>100</v>
      </c>
      <c r="I39" s="229"/>
      <c r="J39" s="36"/>
      <c r="L39" s="233"/>
      <c r="M39" s="233"/>
    </row>
    <row r="40" spans="1:13" ht="14.45" customHeight="1" thickTop="1" x14ac:dyDescent="0.15">
      <c r="C40" s="11"/>
      <c r="D40" s="46"/>
      <c r="E40" s="36"/>
      <c r="F40" s="36"/>
      <c r="H40" s="57" t="s">
        <v>99</v>
      </c>
      <c r="I40" s="76" t="s">
        <v>148</v>
      </c>
      <c r="L40" s="11"/>
      <c r="M40" s="56"/>
    </row>
    <row r="41" spans="1:13" ht="14.45" customHeight="1" x14ac:dyDescent="0.15">
      <c r="B41" s="11"/>
      <c r="C41" s="11"/>
      <c r="D41" s="46"/>
      <c r="E41" s="36"/>
      <c r="F41" s="36"/>
      <c r="G41" s="37"/>
      <c r="H41" s="31" t="s">
        <v>98</v>
      </c>
      <c r="I41" s="35" t="e">
        <f>I35</f>
        <v>#DIV/0!</v>
      </c>
      <c r="J41" s="36"/>
      <c r="L41" s="46"/>
      <c r="M41" s="36"/>
    </row>
    <row r="42" spans="1:13" ht="14.45" customHeight="1" x14ac:dyDescent="0.15">
      <c r="B42" s="11"/>
      <c r="C42" s="11"/>
      <c r="D42" s="46"/>
      <c r="E42" s="36"/>
      <c r="F42" s="36"/>
      <c r="G42" s="38"/>
      <c r="H42" s="30" t="s">
        <v>44</v>
      </c>
      <c r="I42" s="33" t="e">
        <f>'10月'!I36</f>
        <v>#DIV/0!</v>
      </c>
      <c r="J42" s="36"/>
      <c r="L42" s="46"/>
      <c r="M42" s="36"/>
    </row>
    <row r="43" spans="1:13" ht="14.45" customHeight="1" thickBot="1" x14ac:dyDescent="0.2">
      <c r="B43" s="11"/>
      <c r="C43" s="11"/>
      <c r="D43" s="46"/>
      <c r="E43" s="36"/>
      <c r="F43" s="36"/>
      <c r="G43" s="36"/>
      <c r="H43" s="29" t="s">
        <v>45</v>
      </c>
      <c r="I43" s="34" t="e">
        <f>I41-I42</f>
        <v>#DIV/0!</v>
      </c>
      <c r="J43" s="36"/>
      <c r="L43" s="46"/>
      <c r="M43" s="36"/>
    </row>
    <row r="44" spans="1:13" ht="15" thickTop="1" thickBot="1" x14ac:dyDescent="0.2">
      <c r="B44" s="11"/>
      <c r="C44" s="11"/>
      <c r="D44" s="12"/>
      <c r="E44" s="12"/>
      <c r="J44" s="12"/>
    </row>
    <row r="45" spans="1:13" ht="15" thickTop="1" thickBot="1" x14ac:dyDescent="0.2">
      <c r="H45" s="228" t="s">
        <v>101</v>
      </c>
      <c r="I45" s="229"/>
    </row>
    <row r="46" spans="1:13" ht="14.25" thickTop="1" x14ac:dyDescent="0.15">
      <c r="H46" s="57" t="s">
        <v>99</v>
      </c>
      <c r="I46" s="76" t="s">
        <v>148</v>
      </c>
    </row>
    <row r="47" spans="1:13" x14ac:dyDescent="0.15">
      <c r="H47" s="31" t="s">
        <v>98</v>
      </c>
      <c r="I47" s="35" t="e">
        <f>I41</f>
        <v>#DIV/0!</v>
      </c>
    </row>
    <row r="48" spans="1:13" x14ac:dyDescent="0.15">
      <c r="H48" s="30" t="s">
        <v>77</v>
      </c>
      <c r="I48" s="33">
        <f>SUM(価格推移グラフ!EZ5)</f>
        <v>690673.68636284571</v>
      </c>
    </row>
    <row r="49" spans="8:9" ht="14.25" thickBot="1" x14ac:dyDescent="0.2">
      <c r="H49" s="29" t="s">
        <v>78</v>
      </c>
      <c r="I49" s="34" t="e">
        <f>I47-I48</f>
        <v>#DIV/0!</v>
      </c>
    </row>
    <row r="50" spans="8:9" ht="14.25" thickTop="1" x14ac:dyDescent="0.15"/>
  </sheetData>
  <mergeCells count="11">
    <mergeCell ref="L39:M39"/>
    <mergeCell ref="H39:I39"/>
    <mergeCell ref="H45:I45"/>
    <mergeCell ref="J3:J4"/>
    <mergeCell ref="F3:G3"/>
    <mergeCell ref="H3:I3"/>
    <mergeCell ref="A35:B35"/>
    <mergeCell ref="A3:A4"/>
    <mergeCell ref="B3:B4"/>
    <mergeCell ref="C3:C4"/>
    <mergeCell ref="D3:E3"/>
  </mergeCells>
  <phoneticPr fontId="1"/>
  <pageMargins left="0.7" right="0.7" top="0.75" bottom="0.75" header="0.3" footer="0.3"/>
  <pageSetup paperSize="9" scale="7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499984740745262"/>
    <pageSetUpPr fitToPage="1"/>
  </sheetPr>
  <dimension ref="A1:L50"/>
  <sheetViews>
    <sheetView workbookViewId="0">
      <selection activeCell="O26" sqref="O26"/>
    </sheetView>
  </sheetViews>
  <sheetFormatPr defaultColWidth="8.875" defaultRowHeight="13.5" x14ac:dyDescent="0.15"/>
  <cols>
    <col min="1" max="1" width="7.625" style="56" customWidth="1"/>
    <col min="2" max="2" width="8" style="56" customWidth="1"/>
    <col min="3" max="3" width="9.75" style="56" customWidth="1"/>
    <col min="4" max="8" width="9" style="56"/>
    <col min="9" max="9" width="10.5" style="56" bestFit="1" customWidth="1"/>
    <col min="10" max="10" width="9" style="56" customWidth="1"/>
    <col min="11" max="16384" width="8.875" style="3"/>
  </cols>
  <sheetData>
    <row r="1" spans="1:10" ht="20.100000000000001" customHeight="1" x14ac:dyDescent="0.15">
      <c r="A1" s="58" t="s">
        <v>160</v>
      </c>
      <c r="B1" s="19"/>
      <c r="C1" s="19" t="s">
        <v>46</v>
      </c>
      <c r="D1" s="20"/>
      <c r="E1" s="20" t="s">
        <v>41</v>
      </c>
      <c r="F1" s="20"/>
      <c r="G1" s="12"/>
      <c r="H1" s="12"/>
      <c r="I1" s="12" t="s">
        <v>42</v>
      </c>
      <c r="J1" s="12"/>
    </row>
    <row r="2" spans="1:10" ht="20.100000000000001" customHeight="1" x14ac:dyDescent="0.15">
      <c r="B2" s="11"/>
      <c r="C2" s="11"/>
      <c r="D2" s="12"/>
      <c r="E2" s="12"/>
      <c r="F2" s="12"/>
      <c r="G2" s="12"/>
      <c r="H2" s="12"/>
      <c r="I2" s="14" t="s">
        <v>43</v>
      </c>
      <c r="J2" s="12"/>
    </row>
    <row r="3" spans="1:10" ht="20.100000000000001" customHeight="1" x14ac:dyDescent="0.15">
      <c r="A3" s="232" t="s">
        <v>0</v>
      </c>
      <c r="B3" s="232" t="s">
        <v>1</v>
      </c>
      <c r="C3" s="232" t="s">
        <v>2</v>
      </c>
      <c r="D3" s="230" t="s">
        <v>5</v>
      </c>
      <c r="E3" s="230"/>
      <c r="F3" s="230" t="s">
        <v>6</v>
      </c>
      <c r="G3" s="230"/>
      <c r="H3" s="230" t="s">
        <v>7</v>
      </c>
      <c r="I3" s="230"/>
      <c r="J3" s="230" t="s">
        <v>8</v>
      </c>
    </row>
    <row r="4" spans="1:10" ht="20.100000000000001" customHeight="1" x14ac:dyDescent="0.15">
      <c r="A4" s="232"/>
      <c r="B4" s="232"/>
      <c r="C4" s="232"/>
      <c r="D4" s="23" t="s">
        <v>3</v>
      </c>
      <c r="E4" s="23" t="s">
        <v>4</v>
      </c>
      <c r="F4" s="23" t="s">
        <v>3</v>
      </c>
      <c r="G4" s="23" t="s">
        <v>4</v>
      </c>
      <c r="H4" s="23" t="s">
        <v>3</v>
      </c>
      <c r="I4" s="23" t="s">
        <v>4</v>
      </c>
      <c r="J4" s="230"/>
    </row>
    <row r="5" spans="1:10" ht="20.100000000000001" customHeight="1" x14ac:dyDescent="0.15">
      <c r="A5" s="52" t="s">
        <v>9</v>
      </c>
      <c r="B5" s="73">
        <v>46357</v>
      </c>
      <c r="C5" s="136" t="s">
        <v>179</v>
      </c>
      <c r="D5" s="45"/>
      <c r="E5" s="45"/>
      <c r="F5" s="45"/>
      <c r="G5" s="45"/>
      <c r="H5" s="45"/>
      <c r="I5" s="45"/>
      <c r="J5" s="45"/>
    </row>
    <row r="6" spans="1:10" ht="20.100000000000001" customHeight="1" x14ac:dyDescent="0.15">
      <c r="A6" s="52" t="s">
        <v>10</v>
      </c>
      <c r="B6" s="73">
        <v>46358</v>
      </c>
      <c r="C6" s="136" t="s">
        <v>166</v>
      </c>
      <c r="D6" s="15"/>
      <c r="E6" s="15"/>
      <c r="F6" s="15"/>
      <c r="G6" s="15"/>
      <c r="H6" s="15"/>
      <c r="I6" s="15"/>
      <c r="J6" s="15"/>
    </row>
    <row r="7" spans="1:10" ht="20.100000000000001" customHeight="1" x14ac:dyDescent="0.15">
      <c r="A7" s="52" t="s">
        <v>11</v>
      </c>
      <c r="B7" s="73">
        <v>46359</v>
      </c>
      <c r="C7" s="136" t="s">
        <v>167</v>
      </c>
      <c r="D7" s="15"/>
      <c r="E7" s="15"/>
      <c r="F7" s="15"/>
      <c r="G7" s="15"/>
      <c r="H7" s="15"/>
      <c r="I7" s="15"/>
      <c r="J7" s="15"/>
    </row>
    <row r="8" spans="1:10" ht="20.100000000000001" customHeight="1" x14ac:dyDescent="0.15">
      <c r="A8" s="52" t="s">
        <v>12</v>
      </c>
      <c r="B8" s="73">
        <v>46360</v>
      </c>
      <c r="C8" s="136"/>
      <c r="D8" s="15"/>
      <c r="E8" s="15"/>
      <c r="F8" s="15"/>
      <c r="G8" s="15"/>
      <c r="H8" s="15"/>
      <c r="I8" s="15"/>
      <c r="J8" s="15"/>
    </row>
    <row r="9" spans="1:10" ht="20.100000000000001" customHeight="1" x14ac:dyDescent="0.15">
      <c r="A9" s="52" t="s">
        <v>13</v>
      </c>
      <c r="B9" s="73">
        <v>46361</v>
      </c>
      <c r="C9" s="172"/>
      <c r="D9" s="15"/>
      <c r="E9" s="15"/>
      <c r="F9" s="15"/>
      <c r="G9" s="15"/>
      <c r="H9" s="15"/>
      <c r="I9" s="15"/>
      <c r="J9" s="15"/>
    </row>
    <row r="10" spans="1:10" ht="20.100000000000001" customHeight="1" x14ac:dyDescent="0.15">
      <c r="A10" s="115" t="s">
        <v>14</v>
      </c>
      <c r="B10" s="125">
        <v>46362</v>
      </c>
      <c r="C10" s="211"/>
      <c r="D10" s="68"/>
      <c r="E10" s="68"/>
      <c r="F10" s="68"/>
      <c r="G10" s="68"/>
      <c r="H10" s="68"/>
      <c r="I10" s="68"/>
      <c r="J10" s="68"/>
    </row>
    <row r="11" spans="1:10" ht="20.100000000000001" customHeight="1" x14ac:dyDescent="0.15">
      <c r="A11" s="52" t="s">
        <v>15</v>
      </c>
      <c r="B11" s="73">
        <v>46363</v>
      </c>
      <c r="C11" s="136" t="s">
        <v>174</v>
      </c>
      <c r="D11" s="15"/>
      <c r="E11" s="15"/>
      <c r="F11" s="15"/>
      <c r="G11" s="15"/>
      <c r="H11" s="15"/>
      <c r="I11" s="15"/>
      <c r="J11" s="15"/>
    </row>
    <row r="12" spans="1:10" ht="20.100000000000001" customHeight="1" x14ac:dyDescent="0.15">
      <c r="A12" s="52" t="s">
        <v>16</v>
      </c>
      <c r="B12" s="73">
        <v>46364</v>
      </c>
      <c r="C12" s="172" t="s">
        <v>171</v>
      </c>
      <c r="D12" s="15"/>
      <c r="E12" s="15"/>
      <c r="F12" s="15"/>
      <c r="G12" s="15"/>
      <c r="H12" s="15"/>
      <c r="I12" s="15"/>
      <c r="J12" s="15"/>
    </row>
    <row r="13" spans="1:10" ht="20.100000000000001" customHeight="1" x14ac:dyDescent="0.15">
      <c r="A13" s="52" t="s">
        <v>17</v>
      </c>
      <c r="B13" s="73">
        <v>46365</v>
      </c>
      <c r="C13" s="172" t="s">
        <v>171</v>
      </c>
      <c r="D13" s="15"/>
      <c r="E13" s="15"/>
      <c r="F13" s="15"/>
      <c r="G13" s="15"/>
      <c r="H13" s="15"/>
      <c r="I13" s="15"/>
      <c r="J13" s="15"/>
    </row>
    <row r="14" spans="1:10" ht="20.100000000000001" customHeight="1" x14ac:dyDescent="0.15">
      <c r="A14" s="52" t="s">
        <v>18</v>
      </c>
      <c r="B14" s="73">
        <v>46366</v>
      </c>
      <c r="C14" s="142" t="s">
        <v>172</v>
      </c>
      <c r="D14" s="15"/>
      <c r="E14" s="15"/>
      <c r="F14" s="15"/>
      <c r="G14" s="15"/>
      <c r="H14" s="15"/>
      <c r="I14" s="15"/>
      <c r="J14" s="15"/>
    </row>
    <row r="15" spans="1:10" ht="20.100000000000001" customHeight="1" x14ac:dyDescent="0.15">
      <c r="A15" s="52" t="s">
        <v>19</v>
      </c>
      <c r="B15" s="73">
        <v>46367</v>
      </c>
      <c r="C15" s="136" t="s">
        <v>172</v>
      </c>
      <c r="D15" s="15"/>
      <c r="E15" s="15"/>
      <c r="F15" s="15"/>
      <c r="G15" s="15"/>
      <c r="H15" s="15"/>
      <c r="I15" s="15"/>
      <c r="J15" s="15"/>
    </row>
    <row r="16" spans="1:10" ht="20.100000000000001" customHeight="1" x14ac:dyDescent="0.15">
      <c r="A16" s="52" t="s">
        <v>20</v>
      </c>
      <c r="B16" s="73">
        <v>46368</v>
      </c>
      <c r="C16" s="136" t="s">
        <v>173</v>
      </c>
      <c r="D16" s="15"/>
      <c r="E16" s="15"/>
      <c r="F16" s="15"/>
      <c r="G16" s="15"/>
      <c r="H16" s="15"/>
      <c r="I16" s="15"/>
      <c r="J16" s="15"/>
    </row>
    <row r="17" spans="1:10" ht="20.100000000000001" customHeight="1" x14ac:dyDescent="0.15">
      <c r="A17" s="115" t="s">
        <v>21</v>
      </c>
      <c r="B17" s="125">
        <v>46369</v>
      </c>
      <c r="C17" s="144"/>
      <c r="D17" s="68"/>
      <c r="E17" s="68"/>
      <c r="F17" s="68"/>
      <c r="G17" s="68"/>
      <c r="H17" s="68"/>
      <c r="I17" s="68"/>
      <c r="J17" s="68"/>
    </row>
    <row r="18" spans="1:10" ht="20.100000000000001" customHeight="1" x14ac:dyDescent="0.15">
      <c r="A18" s="52" t="s">
        <v>22</v>
      </c>
      <c r="B18" s="73">
        <v>46370</v>
      </c>
      <c r="C18" s="136" t="s">
        <v>175</v>
      </c>
      <c r="D18" s="45"/>
      <c r="E18" s="45"/>
      <c r="F18" s="45"/>
      <c r="G18" s="45"/>
      <c r="H18" s="45"/>
      <c r="I18" s="45"/>
      <c r="J18" s="45"/>
    </row>
    <row r="19" spans="1:10" ht="20.100000000000001" customHeight="1" x14ac:dyDescent="0.15">
      <c r="A19" s="52" t="s">
        <v>23</v>
      </c>
      <c r="B19" s="73">
        <v>46371</v>
      </c>
      <c r="C19" s="136" t="s">
        <v>175</v>
      </c>
      <c r="D19" s="45"/>
      <c r="E19" s="45"/>
      <c r="F19" s="45"/>
      <c r="G19" s="45"/>
      <c r="H19" s="45"/>
      <c r="I19" s="45"/>
      <c r="J19" s="45"/>
    </row>
    <row r="20" spans="1:10" ht="20.100000000000001" customHeight="1" x14ac:dyDescent="0.15">
      <c r="A20" s="52" t="s">
        <v>24</v>
      </c>
      <c r="B20" s="73">
        <v>46372</v>
      </c>
      <c r="C20" s="136" t="s">
        <v>176</v>
      </c>
      <c r="D20" s="15"/>
      <c r="E20" s="15"/>
      <c r="F20" s="15"/>
      <c r="G20" s="15"/>
      <c r="H20" s="15"/>
      <c r="I20" s="15"/>
      <c r="J20" s="15"/>
    </row>
    <row r="21" spans="1:10" ht="20.100000000000001" customHeight="1" x14ac:dyDescent="0.15">
      <c r="A21" s="52" t="s">
        <v>25</v>
      </c>
      <c r="B21" s="73">
        <v>46373</v>
      </c>
      <c r="C21" s="136" t="s">
        <v>178</v>
      </c>
      <c r="D21" s="15"/>
      <c r="E21" s="15"/>
      <c r="F21" s="15"/>
      <c r="G21" s="15"/>
      <c r="H21" s="15"/>
      <c r="I21" s="15"/>
      <c r="J21" s="15"/>
    </row>
    <row r="22" spans="1:10" ht="20.100000000000001" customHeight="1" x14ac:dyDescent="0.15">
      <c r="A22" s="52" t="s">
        <v>26</v>
      </c>
      <c r="B22" s="73">
        <v>46374</v>
      </c>
      <c r="C22" s="136" t="s">
        <v>178</v>
      </c>
      <c r="D22" s="15"/>
      <c r="E22" s="15"/>
      <c r="F22" s="15"/>
      <c r="G22" s="15"/>
      <c r="H22" s="15"/>
      <c r="I22" s="15"/>
      <c r="J22" s="15"/>
    </row>
    <row r="23" spans="1:10" ht="20.100000000000001" customHeight="1" x14ac:dyDescent="0.15">
      <c r="A23" s="52" t="s">
        <v>27</v>
      </c>
      <c r="B23" s="73">
        <v>46375</v>
      </c>
      <c r="C23" s="136" t="s">
        <v>178</v>
      </c>
      <c r="D23" s="15"/>
      <c r="E23" s="15"/>
      <c r="F23" s="15"/>
      <c r="G23" s="15"/>
      <c r="H23" s="15"/>
      <c r="I23" s="15"/>
      <c r="J23" s="15"/>
    </row>
    <row r="24" spans="1:10" ht="20.100000000000001" customHeight="1" x14ac:dyDescent="0.15">
      <c r="A24" s="115" t="s">
        <v>28</v>
      </c>
      <c r="B24" s="125">
        <v>46376</v>
      </c>
      <c r="C24" s="210"/>
      <c r="D24" s="68"/>
      <c r="E24" s="68"/>
      <c r="F24" s="68"/>
      <c r="G24" s="68"/>
      <c r="H24" s="68"/>
      <c r="I24" s="68"/>
      <c r="J24" s="68"/>
    </row>
    <row r="25" spans="1:10" ht="20.100000000000001" customHeight="1" x14ac:dyDescent="0.15">
      <c r="A25" s="52" t="s">
        <v>29</v>
      </c>
      <c r="B25" s="73">
        <v>46377</v>
      </c>
      <c r="C25" s="66"/>
      <c r="D25" s="15"/>
      <c r="E25" s="15"/>
      <c r="F25" s="15"/>
      <c r="G25" s="15"/>
      <c r="H25" s="15"/>
      <c r="I25" s="15"/>
      <c r="J25" s="15"/>
    </row>
    <row r="26" spans="1:10" ht="20.100000000000001" customHeight="1" x14ac:dyDescent="0.15">
      <c r="A26" s="52" t="s">
        <v>30</v>
      </c>
      <c r="B26" s="73">
        <v>46378</v>
      </c>
      <c r="C26" s="136"/>
      <c r="D26" s="15"/>
      <c r="E26" s="15"/>
      <c r="F26" s="15"/>
      <c r="G26" s="15"/>
      <c r="H26" s="15"/>
      <c r="I26" s="15"/>
      <c r="J26" s="15"/>
    </row>
    <row r="27" spans="1:10" ht="20.100000000000001" customHeight="1" x14ac:dyDescent="0.15">
      <c r="A27" s="52" t="s">
        <v>31</v>
      </c>
      <c r="B27" s="73">
        <v>46379</v>
      </c>
      <c r="C27" s="136"/>
      <c r="D27" s="15"/>
      <c r="E27" s="15"/>
      <c r="F27" s="15"/>
      <c r="G27" s="15"/>
      <c r="H27" s="15"/>
      <c r="I27" s="15"/>
      <c r="J27" s="15"/>
    </row>
    <row r="28" spans="1:10" ht="20.100000000000001" customHeight="1" x14ac:dyDescent="0.15">
      <c r="A28" s="52" t="s">
        <v>32</v>
      </c>
      <c r="B28" s="73">
        <v>46380</v>
      </c>
      <c r="C28" s="136"/>
      <c r="D28" s="15"/>
      <c r="E28" s="15"/>
      <c r="F28" s="15"/>
      <c r="G28" s="15"/>
      <c r="H28" s="15"/>
      <c r="I28" s="15"/>
      <c r="J28" s="15"/>
    </row>
    <row r="29" spans="1:10" ht="20.100000000000001" customHeight="1" x14ac:dyDescent="0.15">
      <c r="A29" s="52" t="s">
        <v>33</v>
      </c>
      <c r="B29" s="73">
        <v>46381</v>
      </c>
      <c r="C29" s="136"/>
      <c r="D29" s="15"/>
      <c r="E29" s="15"/>
      <c r="F29" s="15"/>
      <c r="G29" s="15"/>
      <c r="H29" s="15"/>
      <c r="I29" s="15"/>
      <c r="J29" s="15"/>
    </row>
    <row r="30" spans="1:10" ht="20.100000000000001" customHeight="1" x14ac:dyDescent="0.15">
      <c r="A30" s="52" t="s">
        <v>34</v>
      </c>
      <c r="B30" s="73">
        <v>46382</v>
      </c>
      <c r="C30" s="136"/>
      <c r="D30" s="15"/>
      <c r="E30" s="15"/>
      <c r="F30" s="15"/>
      <c r="G30" s="15"/>
      <c r="H30" s="15"/>
      <c r="I30" s="15"/>
      <c r="J30" s="15"/>
    </row>
    <row r="31" spans="1:10" ht="20.100000000000001" customHeight="1" x14ac:dyDescent="0.15">
      <c r="A31" s="115" t="s">
        <v>35</v>
      </c>
      <c r="B31" s="125">
        <v>46383</v>
      </c>
      <c r="C31" s="139"/>
      <c r="D31" s="68"/>
      <c r="E31" s="68"/>
      <c r="F31" s="68"/>
      <c r="G31" s="68"/>
      <c r="H31" s="68"/>
      <c r="I31" s="68"/>
      <c r="J31" s="68"/>
    </row>
    <row r="32" spans="1:10" ht="20.100000000000001" customHeight="1" x14ac:dyDescent="0.15">
      <c r="A32" s="52" t="s">
        <v>36</v>
      </c>
      <c r="B32" s="73">
        <v>46384</v>
      </c>
      <c r="C32" s="136"/>
      <c r="D32" s="15"/>
      <c r="E32" s="15"/>
      <c r="F32" s="15"/>
      <c r="G32" s="15"/>
      <c r="H32" s="15"/>
      <c r="I32" s="15"/>
      <c r="J32" s="15"/>
    </row>
    <row r="33" spans="1:12" ht="20.100000000000001" customHeight="1" x14ac:dyDescent="0.15">
      <c r="A33" s="52" t="s">
        <v>37</v>
      </c>
      <c r="B33" s="73">
        <v>46385</v>
      </c>
      <c r="C33" s="136"/>
      <c r="D33" s="15"/>
      <c r="E33" s="15"/>
      <c r="F33" s="15"/>
      <c r="G33" s="15"/>
      <c r="H33" s="15"/>
      <c r="I33" s="15"/>
      <c r="J33" s="15"/>
    </row>
    <row r="34" spans="1:12" ht="20.100000000000001" customHeight="1" x14ac:dyDescent="0.15">
      <c r="A34" s="52" t="s">
        <v>38</v>
      </c>
      <c r="B34" s="73">
        <v>46386</v>
      </c>
      <c r="C34" s="136"/>
      <c r="D34" s="15"/>
      <c r="E34" s="15"/>
      <c r="F34" s="15"/>
      <c r="G34" s="15"/>
      <c r="H34" s="15"/>
      <c r="I34" s="15"/>
      <c r="J34" s="15"/>
    </row>
    <row r="35" spans="1:12" ht="20.100000000000001" customHeight="1" x14ac:dyDescent="0.15">
      <c r="A35" s="52" t="s">
        <v>39</v>
      </c>
      <c r="B35" s="73">
        <v>46387</v>
      </c>
      <c r="C35" s="136"/>
      <c r="D35" s="15"/>
      <c r="E35" s="15"/>
      <c r="F35" s="15"/>
      <c r="G35" s="15"/>
      <c r="H35" s="15"/>
      <c r="I35" s="15"/>
      <c r="J35" s="15"/>
    </row>
    <row r="36" spans="1:12" ht="20.100000000000001" customHeight="1" x14ac:dyDescent="0.15">
      <c r="A36" s="253"/>
      <c r="B36" s="254"/>
      <c r="C36" s="52"/>
      <c r="D36" s="62">
        <f>SUM(D5:D35)</f>
        <v>0</v>
      </c>
      <c r="E36" s="62" t="e">
        <f>(D5*E5+D6*E6+D7*E7+D9*E9+D10*E10+D11*E11+D12*E12+D13*E13+D16*E16+D17*E17+D18*E18+D19*E19+D20*E20+D24*E24+D25*E25+D26*E26)/D36</f>
        <v>#DIV/0!</v>
      </c>
      <c r="F36" s="62">
        <f>SUM(F5:F35)</f>
        <v>0</v>
      </c>
      <c r="G36" s="62" t="e">
        <f>(F5*G5+F6*G6+F7*G7+F9*G9+F10*G10+F11*G11+F12*G12+F13*G13+F16*G16+F17*G17+F18*G18+F19*G19+F20*G20+F24*G24+F25*G25+F26*G26)/F36</f>
        <v>#DIV/0!</v>
      </c>
      <c r="H36" s="62">
        <f>D36+F36</f>
        <v>0</v>
      </c>
      <c r="I36" s="15" t="e">
        <f>SUMPRODUCT(H5:H35,I5:I35)/H36</f>
        <v>#DIV/0!</v>
      </c>
      <c r="J36" s="52"/>
    </row>
    <row r="37" spans="1:12" x14ac:dyDescent="0.15">
      <c r="B37" s="11"/>
      <c r="C37" s="50" t="s">
        <v>161</v>
      </c>
      <c r="D37" s="12"/>
      <c r="E37" s="12"/>
      <c r="F37" s="12"/>
      <c r="G37" s="12"/>
      <c r="H37" s="32" t="s">
        <v>97</v>
      </c>
      <c r="I37" s="12" t="e">
        <f>I36/1.1</f>
        <v>#DIV/0!</v>
      </c>
      <c r="J37" s="12"/>
    </row>
    <row r="38" spans="1:12" ht="14.25" thickBot="1" x14ac:dyDescent="0.2">
      <c r="A38" s="16"/>
      <c r="B38" s="9"/>
      <c r="C38" s="13" t="s">
        <v>186</v>
      </c>
      <c r="D38" s="10"/>
      <c r="E38" s="10"/>
      <c r="F38" s="10"/>
      <c r="G38" s="10"/>
      <c r="H38" s="10"/>
      <c r="I38" s="10"/>
      <c r="J38" s="10"/>
    </row>
    <row r="39" spans="1:12" ht="15" thickTop="1" thickBot="1" x14ac:dyDescent="0.2">
      <c r="B39" s="11"/>
      <c r="C39" s="11"/>
      <c r="E39" s="36"/>
      <c r="F39" s="36"/>
      <c r="G39" s="36"/>
      <c r="H39" s="228" t="s">
        <v>100</v>
      </c>
      <c r="I39" s="229"/>
      <c r="J39" s="36"/>
    </row>
    <row r="40" spans="1:12" ht="14.25" thickTop="1" x14ac:dyDescent="0.15">
      <c r="B40" s="11"/>
      <c r="C40" s="11"/>
      <c r="D40" s="46"/>
      <c r="E40" s="233"/>
      <c r="F40" s="233"/>
      <c r="H40" s="57" t="s">
        <v>99</v>
      </c>
      <c r="I40" s="76" t="s">
        <v>148</v>
      </c>
    </row>
    <row r="41" spans="1:12" x14ac:dyDescent="0.15">
      <c r="B41" s="11"/>
      <c r="C41" s="11"/>
      <c r="D41" s="46"/>
      <c r="E41" s="234"/>
      <c r="F41" s="234"/>
      <c r="G41" s="37"/>
      <c r="H41" s="31" t="s">
        <v>98</v>
      </c>
      <c r="I41" s="35" t="e">
        <f>I36</f>
        <v>#DIV/0!</v>
      </c>
      <c r="J41" s="36"/>
    </row>
    <row r="42" spans="1:12" x14ac:dyDescent="0.15">
      <c r="B42" s="11"/>
      <c r="C42" s="11"/>
      <c r="D42" s="46"/>
      <c r="E42" s="234"/>
      <c r="F42" s="234"/>
      <c r="G42" s="38"/>
      <c r="H42" s="30" t="s">
        <v>44</v>
      </c>
      <c r="I42" s="33" t="e">
        <f>'11月'!I35</f>
        <v>#DIV/0!</v>
      </c>
      <c r="J42" s="36"/>
    </row>
    <row r="43" spans="1:12" ht="14.25" thickBot="1" x14ac:dyDescent="0.2">
      <c r="B43" s="11"/>
      <c r="C43" s="11"/>
      <c r="D43" s="46"/>
      <c r="E43" s="234"/>
      <c r="F43" s="234"/>
      <c r="G43" s="36"/>
      <c r="H43" s="29" t="s">
        <v>45</v>
      </c>
      <c r="I43" s="34" t="e">
        <f>I41-I42</f>
        <v>#DIV/0!</v>
      </c>
      <c r="J43" s="36"/>
    </row>
    <row r="44" spans="1:12" ht="15" thickTop="1" thickBot="1" x14ac:dyDescent="0.2">
      <c r="B44" s="11"/>
      <c r="C44" s="11"/>
      <c r="D44" s="12"/>
      <c r="E44" s="12"/>
      <c r="J44" s="12"/>
      <c r="L44" s="3" t="s">
        <v>141</v>
      </c>
    </row>
    <row r="45" spans="1:12" ht="15" thickTop="1" thickBot="1" x14ac:dyDescent="0.2">
      <c r="H45" s="228" t="s">
        <v>101</v>
      </c>
      <c r="I45" s="229"/>
    </row>
    <row r="46" spans="1:12" ht="14.25" thickTop="1" x14ac:dyDescent="0.15">
      <c r="H46" s="57" t="s">
        <v>99</v>
      </c>
      <c r="I46" s="76" t="s">
        <v>148</v>
      </c>
    </row>
    <row r="47" spans="1:12" x14ac:dyDescent="0.15">
      <c r="H47" s="31" t="s">
        <v>98</v>
      </c>
      <c r="I47" s="35" t="e">
        <f>I41</f>
        <v>#DIV/0!</v>
      </c>
    </row>
    <row r="48" spans="1:12" x14ac:dyDescent="0.15">
      <c r="H48" s="30" t="s">
        <v>77</v>
      </c>
      <c r="I48" s="33">
        <f>SUM(価格推移グラフ!FA5)</f>
        <v>748369.68262374518</v>
      </c>
    </row>
    <row r="49" spans="8:9" ht="14.25" thickBot="1" x14ac:dyDescent="0.2">
      <c r="H49" s="29" t="s">
        <v>78</v>
      </c>
      <c r="I49" s="34" t="e">
        <f>I47-I48</f>
        <v>#DIV/0!</v>
      </c>
    </row>
    <row r="50" spans="8:9" ht="14.25" thickTop="1" x14ac:dyDescent="0.15"/>
  </sheetData>
  <mergeCells count="14">
    <mergeCell ref="J3:J4"/>
    <mergeCell ref="F3:G3"/>
    <mergeCell ref="H3:I3"/>
    <mergeCell ref="A36:B36"/>
    <mergeCell ref="A3:A4"/>
    <mergeCell ref="B3:B4"/>
    <mergeCell ref="C3:C4"/>
    <mergeCell ref="D3:E3"/>
    <mergeCell ref="H45:I45"/>
    <mergeCell ref="H39:I39"/>
    <mergeCell ref="E40:F40"/>
    <mergeCell ref="E41:F41"/>
    <mergeCell ref="E42:F42"/>
    <mergeCell ref="E43:F43"/>
  </mergeCells>
  <phoneticPr fontId="1"/>
  <pageMargins left="0.7" right="0.7" top="0.75" bottom="0.75" header="0.3" footer="0.3"/>
  <pageSetup paperSize="9" scale="8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00000"/>
  </sheetPr>
  <dimension ref="A1:FM66"/>
  <sheetViews>
    <sheetView topLeftCell="CH1" zoomScale="70" zoomScaleNormal="70" zoomScaleSheetLayoutView="70" workbookViewId="0">
      <selection activeCell="DH10" sqref="DH10"/>
    </sheetView>
  </sheetViews>
  <sheetFormatPr defaultRowHeight="13.5" x14ac:dyDescent="0.15"/>
  <cols>
    <col min="1" max="1" width="26.375" style="1" customWidth="1"/>
    <col min="2" max="12" width="7.625" style="1" hidden="1" customWidth="1"/>
    <col min="13" max="13" width="8.25" style="1" hidden="1" customWidth="1"/>
    <col min="14" max="14" width="9.375" hidden="1" customWidth="1"/>
    <col min="15" max="18" width="7.625" hidden="1" customWidth="1"/>
    <col min="19" max="25" width="0" hidden="1" customWidth="1"/>
    <col min="26" max="26" width="10.25" hidden="1" customWidth="1"/>
    <col min="27" max="60" width="0" hidden="1" customWidth="1"/>
    <col min="61" max="61" width="9" hidden="1" customWidth="1"/>
    <col min="62" max="85" width="0" hidden="1" customWidth="1"/>
    <col min="86" max="112" width="7.75" customWidth="1"/>
    <col min="113" max="113" width="9" customWidth="1"/>
    <col min="114" max="120" width="7.75" customWidth="1"/>
    <col min="121" max="121" width="8.875" customWidth="1"/>
  </cols>
  <sheetData>
    <row r="1" spans="1:169" x14ac:dyDescent="0.15">
      <c r="B1" s="1" t="s">
        <v>58</v>
      </c>
      <c r="E1" s="1" t="s">
        <v>66</v>
      </c>
      <c r="L1" s="1" t="s">
        <v>67</v>
      </c>
      <c r="BJ1" s="25"/>
    </row>
    <row r="2" spans="1:169" s="5" customFormat="1" ht="28.9" customHeight="1" x14ac:dyDescent="0.15">
      <c r="A2" s="4"/>
      <c r="B2" s="40" t="s">
        <v>73</v>
      </c>
      <c r="C2" s="4" t="s">
        <v>47</v>
      </c>
      <c r="D2" s="4" t="s">
        <v>48</v>
      </c>
      <c r="E2" s="4" t="s">
        <v>49</v>
      </c>
      <c r="F2" s="4" t="s">
        <v>50</v>
      </c>
      <c r="G2" s="4" t="s">
        <v>51</v>
      </c>
      <c r="H2" s="4" t="s">
        <v>52</v>
      </c>
      <c r="I2" s="4" t="s">
        <v>53</v>
      </c>
      <c r="J2" s="4" t="s">
        <v>54</v>
      </c>
      <c r="K2" s="4" t="s">
        <v>55</v>
      </c>
      <c r="L2" s="4" t="s">
        <v>56</v>
      </c>
      <c r="M2" s="4" t="s">
        <v>57</v>
      </c>
      <c r="N2" s="40" t="s">
        <v>74</v>
      </c>
      <c r="O2" s="6" t="s">
        <v>47</v>
      </c>
      <c r="P2" s="6" t="s">
        <v>48</v>
      </c>
      <c r="Q2" s="6" t="s">
        <v>49</v>
      </c>
      <c r="R2" s="6" t="s">
        <v>50</v>
      </c>
      <c r="S2" s="6" t="s">
        <v>51</v>
      </c>
      <c r="T2" s="6" t="s">
        <v>52</v>
      </c>
      <c r="U2" s="6" t="s">
        <v>53</v>
      </c>
      <c r="V2" s="6" t="s">
        <v>54</v>
      </c>
      <c r="W2" s="6" t="s">
        <v>55</v>
      </c>
      <c r="X2" s="6" t="s">
        <v>56</v>
      </c>
      <c r="Y2" s="6" t="s">
        <v>57</v>
      </c>
      <c r="Z2" s="40" t="s">
        <v>75</v>
      </c>
      <c r="AA2" s="6" t="s">
        <v>47</v>
      </c>
      <c r="AB2" s="6" t="s">
        <v>48</v>
      </c>
      <c r="AC2" s="6" t="s">
        <v>49</v>
      </c>
      <c r="AD2" s="6" t="s">
        <v>50</v>
      </c>
      <c r="AE2" s="6" t="s">
        <v>51</v>
      </c>
      <c r="AF2" s="6" t="s">
        <v>52</v>
      </c>
      <c r="AG2" s="6" t="s">
        <v>53</v>
      </c>
      <c r="AH2" s="6" t="s">
        <v>54</v>
      </c>
      <c r="AI2" s="6" t="s">
        <v>55</v>
      </c>
      <c r="AJ2" s="6" t="s">
        <v>56</v>
      </c>
      <c r="AK2" s="6" t="s">
        <v>57</v>
      </c>
      <c r="AL2" s="40" t="s">
        <v>72</v>
      </c>
      <c r="AM2" s="6" t="s">
        <v>47</v>
      </c>
      <c r="AN2" s="6" t="s">
        <v>48</v>
      </c>
      <c r="AO2" s="6" t="s">
        <v>49</v>
      </c>
      <c r="AP2" s="6" t="s">
        <v>50</v>
      </c>
      <c r="AQ2" s="6" t="s">
        <v>51</v>
      </c>
      <c r="AR2" s="6" t="s">
        <v>52</v>
      </c>
      <c r="AS2" s="6" t="s">
        <v>53</v>
      </c>
      <c r="AT2" s="6" t="s">
        <v>54</v>
      </c>
      <c r="AU2" s="6" t="s">
        <v>55</v>
      </c>
      <c r="AV2" s="6" t="s">
        <v>56</v>
      </c>
      <c r="AW2" s="6" t="s">
        <v>57</v>
      </c>
      <c r="AX2" s="40" t="s">
        <v>76</v>
      </c>
      <c r="AY2" s="6" t="s">
        <v>47</v>
      </c>
      <c r="AZ2" s="6" t="s">
        <v>48</v>
      </c>
      <c r="BA2" s="6" t="s">
        <v>49</v>
      </c>
      <c r="BB2" s="6" t="s">
        <v>50</v>
      </c>
      <c r="BC2" s="6" t="s">
        <v>51</v>
      </c>
      <c r="BD2" s="6" t="s">
        <v>52</v>
      </c>
      <c r="BE2" s="6" t="s">
        <v>53</v>
      </c>
      <c r="BF2" s="6" t="s">
        <v>54</v>
      </c>
      <c r="BG2" s="6" t="s">
        <v>55</v>
      </c>
      <c r="BH2" s="6" t="s">
        <v>56</v>
      </c>
      <c r="BI2" s="6" t="s">
        <v>57</v>
      </c>
      <c r="BJ2" s="6" t="s">
        <v>85</v>
      </c>
      <c r="BK2" s="6" t="s">
        <v>86</v>
      </c>
      <c r="BL2" s="6" t="s">
        <v>48</v>
      </c>
      <c r="BM2" s="6" t="s">
        <v>49</v>
      </c>
      <c r="BN2" s="6" t="s">
        <v>50</v>
      </c>
      <c r="BO2" s="6" t="s">
        <v>51</v>
      </c>
      <c r="BP2" s="6" t="s">
        <v>52</v>
      </c>
      <c r="BQ2" s="6" t="s">
        <v>53</v>
      </c>
      <c r="BR2" s="6" t="s">
        <v>54</v>
      </c>
      <c r="BS2" s="6" t="s">
        <v>55</v>
      </c>
      <c r="BT2" s="6" t="s">
        <v>56</v>
      </c>
      <c r="BU2" s="6" t="s">
        <v>57</v>
      </c>
      <c r="BV2" s="6" t="s">
        <v>90</v>
      </c>
      <c r="BW2" s="6" t="s">
        <v>86</v>
      </c>
      <c r="BX2" s="6" t="s">
        <v>48</v>
      </c>
      <c r="BY2" s="6" t="s">
        <v>49</v>
      </c>
      <c r="BZ2" s="6" t="s">
        <v>50</v>
      </c>
      <c r="CA2" s="6" t="s">
        <v>51</v>
      </c>
      <c r="CB2" s="6" t="s">
        <v>52</v>
      </c>
      <c r="CC2" s="6" t="s">
        <v>53</v>
      </c>
      <c r="CD2" s="6" t="s">
        <v>54</v>
      </c>
      <c r="CE2" s="6" t="s">
        <v>55</v>
      </c>
      <c r="CF2" s="6" t="s">
        <v>56</v>
      </c>
      <c r="CG2" s="6" t="s">
        <v>57</v>
      </c>
      <c r="CH2" s="6" t="s">
        <v>102</v>
      </c>
      <c r="CI2" s="6" t="s">
        <v>86</v>
      </c>
      <c r="CJ2" s="6" t="s">
        <v>48</v>
      </c>
      <c r="CK2" s="6" t="s">
        <v>49</v>
      </c>
      <c r="CL2" s="6" t="s">
        <v>50</v>
      </c>
      <c r="CM2" s="6" t="s">
        <v>51</v>
      </c>
      <c r="CN2" s="6" t="s">
        <v>52</v>
      </c>
      <c r="CO2" s="6" t="s">
        <v>53</v>
      </c>
      <c r="CP2" s="6" t="s">
        <v>54</v>
      </c>
      <c r="CQ2" s="6" t="s">
        <v>55</v>
      </c>
      <c r="CR2" s="6" t="s">
        <v>56</v>
      </c>
      <c r="CS2" s="6" t="s">
        <v>57</v>
      </c>
      <c r="CT2" s="6" t="s">
        <v>110</v>
      </c>
      <c r="CU2" s="6" t="s">
        <v>86</v>
      </c>
      <c r="CV2" s="6" t="s">
        <v>48</v>
      </c>
      <c r="CW2" s="6" t="s">
        <v>49</v>
      </c>
      <c r="CX2" s="6" t="s">
        <v>50</v>
      </c>
      <c r="CY2" s="6" t="s">
        <v>51</v>
      </c>
      <c r="CZ2" s="6" t="s">
        <v>52</v>
      </c>
      <c r="DA2" s="6" t="s">
        <v>53</v>
      </c>
      <c r="DB2" s="6" t="s">
        <v>54</v>
      </c>
      <c r="DC2" s="6" t="s">
        <v>55</v>
      </c>
      <c r="DD2" s="6" t="s">
        <v>56</v>
      </c>
      <c r="DE2" s="6" t="s">
        <v>57</v>
      </c>
      <c r="DF2" s="6" t="s">
        <v>139</v>
      </c>
      <c r="DG2" s="6" t="s">
        <v>86</v>
      </c>
      <c r="DH2" s="6" t="s">
        <v>48</v>
      </c>
      <c r="DI2" s="6" t="s">
        <v>49</v>
      </c>
      <c r="DJ2" s="6" t="s">
        <v>50</v>
      </c>
      <c r="DK2" s="6" t="s">
        <v>51</v>
      </c>
      <c r="DL2" s="6" t="s">
        <v>52</v>
      </c>
      <c r="DM2" s="6" t="s">
        <v>53</v>
      </c>
      <c r="DN2" s="6" t="s">
        <v>54</v>
      </c>
      <c r="DO2" s="6" t="s">
        <v>55</v>
      </c>
      <c r="DP2" s="6" t="s">
        <v>56</v>
      </c>
      <c r="DQ2" s="6" t="s">
        <v>57</v>
      </c>
      <c r="DR2" s="6" t="s">
        <v>142</v>
      </c>
      <c r="DS2" s="6" t="s">
        <v>86</v>
      </c>
      <c r="DT2" s="6" t="s">
        <v>48</v>
      </c>
      <c r="DU2" s="6" t="s">
        <v>49</v>
      </c>
      <c r="DV2" s="6" t="s">
        <v>50</v>
      </c>
      <c r="DW2" s="6" t="s">
        <v>51</v>
      </c>
      <c r="DX2" s="6" t="s">
        <v>52</v>
      </c>
      <c r="DY2" s="6" t="s">
        <v>53</v>
      </c>
      <c r="DZ2" s="6" t="s">
        <v>54</v>
      </c>
      <c r="EA2" s="6" t="s">
        <v>55</v>
      </c>
      <c r="EB2" s="6" t="s">
        <v>56</v>
      </c>
      <c r="EC2" s="6" t="s">
        <v>57</v>
      </c>
      <c r="ED2" s="6" t="s">
        <v>143</v>
      </c>
      <c r="EE2" s="6" t="s">
        <v>86</v>
      </c>
      <c r="EF2" s="6" t="s">
        <v>48</v>
      </c>
      <c r="EG2" s="6" t="s">
        <v>49</v>
      </c>
      <c r="EH2" s="6" t="s">
        <v>50</v>
      </c>
      <c r="EI2" s="6" t="s">
        <v>51</v>
      </c>
      <c r="EJ2" s="6" t="s">
        <v>52</v>
      </c>
      <c r="EK2" s="6" t="s">
        <v>53</v>
      </c>
      <c r="EL2" s="6" t="s">
        <v>54</v>
      </c>
      <c r="EM2" s="6" t="s">
        <v>55</v>
      </c>
      <c r="EN2" s="6" t="s">
        <v>56</v>
      </c>
      <c r="EO2" s="6" t="s">
        <v>57</v>
      </c>
      <c r="EP2" s="214" t="s">
        <v>147</v>
      </c>
      <c r="EQ2" s="214" t="s">
        <v>86</v>
      </c>
      <c r="ER2" s="214" t="s">
        <v>48</v>
      </c>
      <c r="ES2" s="214" t="s">
        <v>49</v>
      </c>
      <c r="ET2" s="214" t="s">
        <v>50</v>
      </c>
      <c r="EU2" s="214" t="s">
        <v>51</v>
      </c>
      <c r="EV2" s="214" t="s">
        <v>52</v>
      </c>
      <c r="EW2" s="214" t="s">
        <v>53</v>
      </c>
      <c r="EX2" s="214" t="s">
        <v>54</v>
      </c>
      <c r="EY2" s="214" t="s">
        <v>55</v>
      </c>
      <c r="EZ2" s="214" t="s">
        <v>56</v>
      </c>
      <c r="FA2" s="214" t="s">
        <v>57</v>
      </c>
      <c r="FB2" s="214" t="s">
        <v>228</v>
      </c>
      <c r="FC2" s="214" t="s">
        <v>86</v>
      </c>
      <c r="FD2" s="214" t="s">
        <v>48</v>
      </c>
      <c r="FE2" s="84" t="s">
        <v>49</v>
      </c>
      <c r="FF2" s="84" t="s">
        <v>50</v>
      </c>
      <c r="FG2" s="84" t="s">
        <v>51</v>
      </c>
      <c r="FH2" s="84" t="s">
        <v>52</v>
      </c>
      <c r="FI2" s="84" t="s">
        <v>53</v>
      </c>
      <c r="FJ2" s="84" t="s">
        <v>54</v>
      </c>
      <c r="FK2" s="84" t="s">
        <v>55</v>
      </c>
      <c r="FL2" s="84" t="s">
        <v>56</v>
      </c>
      <c r="FM2" s="84" t="s">
        <v>57</v>
      </c>
    </row>
    <row r="3" spans="1:169" ht="28.9" customHeight="1" x14ac:dyDescent="0.15">
      <c r="A3" s="2" t="s">
        <v>68</v>
      </c>
      <c r="B3" s="2">
        <v>378759</v>
      </c>
      <c r="C3" s="2">
        <v>406910</v>
      </c>
      <c r="D3" s="2">
        <v>399791</v>
      </c>
      <c r="E3" s="2">
        <v>393339</v>
      </c>
      <c r="F3" s="2">
        <v>371344</v>
      </c>
      <c r="G3" s="2">
        <v>373946</v>
      </c>
      <c r="H3" s="2">
        <v>361938</v>
      </c>
      <c r="I3" s="2">
        <v>368714</v>
      </c>
      <c r="J3" s="21">
        <v>347982</v>
      </c>
      <c r="K3" s="2">
        <v>357284</v>
      </c>
      <c r="L3" s="2">
        <v>372305</v>
      </c>
      <c r="M3" s="2">
        <v>410290</v>
      </c>
      <c r="N3" s="7">
        <v>409175</v>
      </c>
      <c r="O3" s="7">
        <v>425819</v>
      </c>
      <c r="P3" s="7">
        <v>423549</v>
      </c>
      <c r="Q3" s="7">
        <v>435620</v>
      </c>
      <c r="R3" s="7">
        <v>435267</v>
      </c>
      <c r="S3" s="7">
        <v>451785</v>
      </c>
      <c r="T3" s="7">
        <v>445276</v>
      </c>
      <c r="U3" s="7">
        <v>457976</v>
      </c>
      <c r="V3" s="7">
        <v>461043</v>
      </c>
      <c r="W3" s="7">
        <v>476790</v>
      </c>
      <c r="X3" s="7">
        <v>486433</v>
      </c>
      <c r="Y3" s="7">
        <v>510214</v>
      </c>
      <c r="Z3" s="7">
        <v>494382</v>
      </c>
      <c r="AA3" s="7">
        <v>504149</v>
      </c>
      <c r="AB3" s="7">
        <v>505476</v>
      </c>
      <c r="AC3" s="7">
        <v>531144</v>
      </c>
      <c r="AD3" s="7">
        <v>532299</v>
      </c>
      <c r="AE3" s="7">
        <v>536264</v>
      </c>
      <c r="AF3" s="7">
        <v>509770</v>
      </c>
      <c r="AG3" s="7">
        <v>519443</v>
      </c>
      <c r="AH3" s="7">
        <v>506861</v>
      </c>
      <c r="AI3" s="7">
        <v>519291</v>
      </c>
      <c r="AJ3" s="7">
        <v>531346</v>
      </c>
      <c r="AK3" s="7">
        <v>548537</v>
      </c>
      <c r="AL3" s="7">
        <v>541039</v>
      </c>
      <c r="AM3" s="7">
        <v>580429</v>
      </c>
      <c r="AN3" s="7">
        <v>591531</v>
      </c>
      <c r="AO3" s="7">
        <v>601924</v>
      </c>
      <c r="AP3" s="7">
        <v>609436</v>
      </c>
      <c r="AQ3" s="7">
        <v>631747</v>
      </c>
      <c r="AR3" s="7">
        <v>613757</v>
      </c>
      <c r="AS3" s="7">
        <v>626993</v>
      </c>
      <c r="AT3" s="7">
        <v>609556</v>
      </c>
      <c r="AU3" s="7">
        <v>616418</v>
      </c>
      <c r="AV3" s="7">
        <v>637652</v>
      </c>
      <c r="AW3" s="7">
        <v>683511</v>
      </c>
      <c r="AX3" s="8">
        <v>696878.04082976619</v>
      </c>
      <c r="AY3" s="8">
        <v>728969.25484016212</v>
      </c>
      <c r="AZ3" s="8">
        <v>735801.2965277778</v>
      </c>
      <c r="BA3" s="8">
        <v>778914.8222396241</v>
      </c>
      <c r="BB3" s="8">
        <v>773214.96190476185</v>
      </c>
      <c r="BC3" s="8">
        <v>772053.40142917191</v>
      </c>
      <c r="BD3" s="8">
        <v>753324.20658465987</v>
      </c>
      <c r="BE3" s="22">
        <v>788471.25878442544</v>
      </c>
      <c r="BF3" s="22">
        <v>765990.92610837438</v>
      </c>
      <c r="BG3" s="22">
        <v>782886.13665086892</v>
      </c>
      <c r="BH3" s="8">
        <v>791489.71776859509</v>
      </c>
      <c r="BI3" s="28">
        <v>817216.26124704024</v>
      </c>
      <c r="BJ3" s="22">
        <v>800003.17619208654</v>
      </c>
      <c r="BK3" s="41">
        <v>823641.90909090906</v>
      </c>
      <c r="BL3" s="22">
        <v>776943.00441426144</v>
      </c>
      <c r="BM3" s="22">
        <v>810370.89690301544</v>
      </c>
      <c r="BN3" s="22">
        <v>782530.12269476859</v>
      </c>
      <c r="BO3" s="22">
        <v>770934.5290519878</v>
      </c>
      <c r="BP3" s="22">
        <v>737934.98333936976</v>
      </c>
      <c r="BQ3" s="22">
        <v>707834.05325185508</v>
      </c>
      <c r="BR3" s="22">
        <v>686704.18889221561</v>
      </c>
      <c r="BS3" s="22">
        <v>694961.70771144284</v>
      </c>
      <c r="BT3" s="22">
        <v>719603.38902243588</v>
      </c>
      <c r="BU3" s="22">
        <v>759541.80452594615</v>
      </c>
      <c r="BV3" s="22">
        <v>742755.51369631384</v>
      </c>
      <c r="BW3" s="22">
        <v>745385.45183806424</v>
      </c>
      <c r="BX3" s="22">
        <v>737601.84401782649</v>
      </c>
      <c r="BY3" s="22">
        <v>762141.45540308743</v>
      </c>
      <c r="BZ3" s="22">
        <v>734206.27790432808</v>
      </c>
      <c r="CA3" s="22">
        <v>755083.95694629382</v>
      </c>
      <c r="CB3" s="22">
        <v>719129.51957671961</v>
      </c>
      <c r="CC3" s="22">
        <v>736697.2164634146</v>
      </c>
      <c r="CD3" s="22">
        <v>702496.33105924597</v>
      </c>
      <c r="CE3" s="22">
        <v>729986.00387763896</v>
      </c>
      <c r="CF3" s="22">
        <v>744230</v>
      </c>
      <c r="CG3" s="22">
        <v>762410</v>
      </c>
      <c r="CH3" s="26">
        <v>700445.27878321137</v>
      </c>
      <c r="CI3" s="47">
        <v>687211.22187359934</v>
      </c>
      <c r="CJ3" s="47">
        <v>647457.79251848627</v>
      </c>
      <c r="CK3" s="47">
        <v>626251.05890538031</v>
      </c>
      <c r="CL3" s="47">
        <v>583940.18726591766</v>
      </c>
      <c r="CM3" s="47">
        <v>650338.51101321587</v>
      </c>
      <c r="CN3" s="47">
        <v>628876.49959903769</v>
      </c>
      <c r="CO3" s="47">
        <v>640486.36703741155</v>
      </c>
      <c r="CP3" s="47">
        <v>618565.06463719765</v>
      </c>
      <c r="CQ3" s="47">
        <v>676746.82400358259</v>
      </c>
      <c r="CR3" s="47">
        <v>714645.45294635009</v>
      </c>
      <c r="CS3" s="47">
        <v>753638.86435070308</v>
      </c>
      <c r="CT3" s="26">
        <v>711949</v>
      </c>
      <c r="CU3" s="47">
        <v>730306.96949788835</v>
      </c>
      <c r="CV3" s="47">
        <v>735386.61638655467</v>
      </c>
      <c r="CW3" s="47">
        <v>775342.93788235297</v>
      </c>
      <c r="CX3" s="47">
        <v>723973.14112903224</v>
      </c>
      <c r="CY3" s="47">
        <v>715600.73382099823</v>
      </c>
      <c r="CZ3" s="47">
        <v>708312.8435897436</v>
      </c>
      <c r="DA3" s="47">
        <v>678691.0492537315</v>
      </c>
      <c r="DB3" s="47">
        <v>670429.58904399339</v>
      </c>
      <c r="DC3" s="47">
        <v>674430.91775011527</v>
      </c>
      <c r="DD3" s="47">
        <v>684813.97992248076</v>
      </c>
      <c r="DE3" s="47">
        <v>665204.10000000009</v>
      </c>
      <c r="DF3" s="26">
        <v>663929.37593032455</v>
      </c>
      <c r="DG3" s="49">
        <v>648157.015609756</v>
      </c>
      <c r="DH3" s="49">
        <v>631423.80365332309</v>
      </c>
      <c r="DI3" s="49">
        <v>647443.3886185243</v>
      </c>
      <c r="DJ3" s="49">
        <v>594087.10952380963</v>
      </c>
      <c r="DK3" s="49">
        <v>603170.49375000002</v>
      </c>
      <c r="DL3" s="49">
        <v>570153.62380952376</v>
      </c>
      <c r="DM3" s="49">
        <v>536296.23024210089</v>
      </c>
      <c r="DN3" s="49">
        <v>425398.1574380165</v>
      </c>
      <c r="DO3" s="49">
        <v>484824.71512136882</v>
      </c>
      <c r="DP3" s="49">
        <v>412524.13104414858</v>
      </c>
      <c r="DQ3" s="53">
        <v>569106.33591975784</v>
      </c>
      <c r="DR3" s="26">
        <v>551577</v>
      </c>
      <c r="DS3" s="54">
        <v>530594.16371343797</v>
      </c>
      <c r="DT3" s="49">
        <v>528364.02159820276</v>
      </c>
      <c r="DU3" s="49">
        <v>539879.72500000009</v>
      </c>
      <c r="DV3" s="49">
        <v>497681.38095238095</v>
      </c>
      <c r="DW3" s="49">
        <v>487731.40625000006</v>
      </c>
      <c r="DX3" s="49">
        <v>441278.51428571431</v>
      </c>
      <c r="DY3" s="49">
        <v>455071.95437500003</v>
      </c>
      <c r="DZ3" s="49">
        <v>419652.08421052631</v>
      </c>
      <c r="EA3" s="49">
        <v>400330.7</v>
      </c>
      <c r="EB3" s="49">
        <v>418525.38095238095</v>
      </c>
      <c r="EC3" s="49">
        <f>SUM([1]価格推移グラフ!$EC$3)</f>
        <v>460102.36250000005</v>
      </c>
      <c r="ED3" s="26">
        <v>463515.9190476191</v>
      </c>
      <c r="EE3" s="49">
        <v>451711.42500000005</v>
      </c>
      <c r="EF3" s="49">
        <v>482594.8000000001</v>
      </c>
      <c r="EG3" s="49">
        <v>497045.77999999997</v>
      </c>
      <c r="EH3" s="49">
        <v>438746.1047619048</v>
      </c>
      <c r="EI3" s="49">
        <v>458557.06874999998</v>
      </c>
      <c r="EJ3" s="49">
        <v>417008.53333333333</v>
      </c>
      <c r="EK3" s="49">
        <v>420851.81875000003</v>
      </c>
      <c r="EL3" s="49">
        <v>405601.3823529412</v>
      </c>
      <c r="EM3" s="49">
        <v>404443.73750000005</v>
      </c>
      <c r="EN3" s="49">
        <v>430899.4250000001</v>
      </c>
      <c r="EO3" s="49">
        <v>457786.60329249623</v>
      </c>
      <c r="EP3" s="15">
        <v>450568.08562136261</v>
      </c>
      <c r="EQ3" s="49">
        <v>500611.54000000015</v>
      </c>
      <c r="ER3" s="49">
        <v>508888.32500000001</v>
      </c>
      <c r="ES3" s="49">
        <v>576756.1066666668</v>
      </c>
      <c r="ET3" s="49">
        <v>558829.64500000002</v>
      </c>
      <c r="EU3" s="49">
        <v>581519.25333333341</v>
      </c>
      <c r="EV3" s="49">
        <v>561734.25</v>
      </c>
      <c r="EW3" s="49">
        <v>578445.41333333345</v>
      </c>
      <c r="EX3" s="49">
        <v>564955.96666666679</v>
      </c>
      <c r="EY3" s="49">
        <v>582582.88000000012</v>
      </c>
      <c r="EZ3" s="49">
        <v>618347.92105263169</v>
      </c>
      <c r="FA3" s="49">
        <v>680093.33333333349</v>
      </c>
      <c r="FB3" s="49">
        <f>SUM('１月'!E36)</f>
        <v>700279.12446504983</v>
      </c>
      <c r="FC3" s="49">
        <f>SUM('2月'!E34)</f>
        <v>749198.19333333336</v>
      </c>
      <c r="FD3" s="49">
        <f>SUM('3月'!E36)</f>
        <v>772945.33684210537</v>
      </c>
      <c r="FE3" s="85">
        <f>SUM('4月'!E35)</f>
        <v>787605.20666666667</v>
      </c>
      <c r="FF3" s="85">
        <f>SUM('5月'!E36)</f>
        <v>793838.65000000014</v>
      </c>
      <c r="FG3" s="85">
        <f>SUM('6月'!E35)</f>
        <v>767442.28</v>
      </c>
      <c r="FH3" s="85">
        <f>SUM('7月'!E36)</f>
        <v>748123.30476190464</v>
      </c>
      <c r="FI3" s="85">
        <f>SUM('8月'!E36)</f>
        <v>747970.06428571441</v>
      </c>
      <c r="FJ3" s="85">
        <f>SUM('9月'!E35)</f>
        <v>739725.13000000012</v>
      </c>
      <c r="FK3" s="85" t="e">
        <f>SUM('10月'!E36)</f>
        <v>#DIV/0!</v>
      </c>
      <c r="FL3" s="85" t="e">
        <f>SUM('11月'!E35)</f>
        <v>#DIV/0!</v>
      </c>
      <c r="FM3" s="85" t="e">
        <f>SUM('12月'!E36)</f>
        <v>#DIV/0!</v>
      </c>
    </row>
    <row r="4" spans="1:169" ht="28.9" customHeight="1" x14ac:dyDescent="0.15">
      <c r="A4" s="2" t="s">
        <v>108</v>
      </c>
      <c r="B4" s="2">
        <v>445058</v>
      </c>
      <c r="C4" s="2">
        <v>448455</v>
      </c>
      <c r="D4" s="2">
        <v>451434</v>
      </c>
      <c r="E4" s="2">
        <v>458677</v>
      </c>
      <c r="F4" s="2">
        <v>441897</v>
      </c>
      <c r="G4" s="2">
        <v>437183</v>
      </c>
      <c r="H4" s="2">
        <v>430905</v>
      </c>
      <c r="I4" s="2">
        <v>432701</v>
      </c>
      <c r="J4" s="21">
        <v>425239</v>
      </c>
      <c r="K4" s="2">
        <v>427471</v>
      </c>
      <c r="L4" s="2">
        <v>454537</v>
      </c>
      <c r="M4" s="2">
        <v>486218</v>
      </c>
      <c r="N4" s="7">
        <v>481517</v>
      </c>
      <c r="O4" s="7">
        <v>489848</v>
      </c>
      <c r="P4" s="7">
        <v>500720</v>
      </c>
      <c r="Q4" s="7">
        <v>511021</v>
      </c>
      <c r="R4" s="7">
        <v>519269</v>
      </c>
      <c r="S4" s="7">
        <v>524364</v>
      </c>
      <c r="T4" s="7">
        <v>516513</v>
      </c>
      <c r="U4" s="7">
        <v>527168</v>
      </c>
      <c r="V4" s="7">
        <v>530287</v>
      </c>
      <c r="W4" s="7">
        <v>549655</v>
      </c>
      <c r="X4" s="7">
        <v>567443</v>
      </c>
      <c r="Y4" s="7">
        <v>587145</v>
      </c>
      <c r="Z4" s="7">
        <v>567837</v>
      </c>
      <c r="AA4" s="7">
        <v>572197</v>
      </c>
      <c r="AB4" s="7">
        <v>581427</v>
      </c>
      <c r="AC4" s="7">
        <v>610442</v>
      </c>
      <c r="AD4" s="7">
        <v>614076</v>
      </c>
      <c r="AE4" s="7">
        <v>604470</v>
      </c>
      <c r="AF4" s="7">
        <v>583777</v>
      </c>
      <c r="AG4" s="7">
        <v>596752</v>
      </c>
      <c r="AH4" s="7">
        <v>578872</v>
      </c>
      <c r="AI4" s="7">
        <v>594937</v>
      </c>
      <c r="AJ4" s="7">
        <v>616799</v>
      </c>
      <c r="AK4" s="7">
        <v>633957</v>
      </c>
      <c r="AL4" s="7">
        <v>630716</v>
      </c>
      <c r="AM4" s="7">
        <v>669090</v>
      </c>
      <c r="AN4" s="7">
        <v>677006</v>
      </c>
      <c r="AO4" s="7">
        <v>686066</v>
      </c>
      <c r="AP4" s="7">
        <v>698490</v>
      </c>
      <c r="AQ4" s="7">
        <v>706355</v>
      </c>
      <c r="AR4" s="7">
        <v>690861</v>
      </c>
      <c r="AS4" s="7">
        <v>700973</v>
      </c>
      <c r="AT4" s="7">
        <v>705326</v>
      </c>
      <c r="AU4" s="7">
        <v>709027</v>
      </c>
      <c r="AV4" s="7">
        <v>735736</v>
      </c>
      <c r="AW4" s="7">
        <v>782978</v>
      </c>
      <c r="AX4" s="8">
        <v>795453.6626898048</v>
      </c>
      <c r="AY4" s="8">
        <v>823513.12872023811</v>
      </c>
      <c r="AZ4" s="8">
        <v>835686.78158695053</v>
      </c>
      <c r="BA4" s="22">
        <v>887834.77520161285</v>
      </c>
      <c r="BB4" s="8">
        <v>870867.60771513358</v>
      </c>
      <c r="BC4" s="8">
        <v>866979.43906567362</v>
      </c>
      <c r="BD4" s="8">
        <v>855846.83367139963</v>
      </c>
      <c r="BE4" s="22">
        <v>895545.36322869954</v>
      </c>
      <c r="BF4" s="22">
        <v>876488.54254727473</v>
      </c>
      <c r="BG4" s="22">
        <v>884470.2004654255</v>
      </c>
      <c r="BH4" s="22">
        <v>908222.32066344155</v>
      </c>
      <c r="BI4" s="27">
        <v>943039.66928638797</v>
      </c>
      <c r="BJ4" s="22">
        <v>924634.07294577977</v>
      </c>
      <c r="BK4" s="22">
        <v>933679.42945230321</v>
      </c>
      <c r="BL4" s="22">
        <v>899822.71727452648</v>
      </c>
      <c r="BM4" s="22">
        <v>916842.43376280146</v>
      </c>
      <c r="BN4" s="22">
        <v>905737.30780826043</v>
      </c>
      <c r="BO4" s="22">
        <v>877939.22634146339</v>
      </c>
      <c r="BP4" s="22">
        <v>839167.86588235293</v>
      </c>
      <c r="BQ4" s="22">
        <v>829499.38865546219</v>
      </c>
      <c r="BR4" s="22">
        <v>821596.92988147214</v>
      </c>
      <c r="BS4" s="22">
        <v>811123.58013329096</v>
      </c>
      <c r="BT4" s="22">
        <v>861133.93194399215</v>
      </c>
      <c r="BU4" s="22">
        <v>898670.29237697006</v>
      </c>
      <c r="BV4" s="22">
        <v>868941.82392654603</v>
      </c>
      <c r="BW4" s="22">
        <v>881666.64166059718</v>
      </c>
      <c r="BX4" s="22">
        <v>868906.40514469449</v>
      </c>
      <c r="BY4" s="22">
        <v>884867.35782537062</v>
      </c>
      <c r="BZ4" s="22">
        <v>858250.69526285387</v>
      </c>
      <c r="CA4" s="22">
        <v>858797.22453016811</v>
      </c>
      <c r="CB4" s="22">
        <v>833448.547008547</v>
      </c>
      <c r="CC4" s="22">
        <v>857069.18549942155</v>
      </c>
      <c r="CD4" s="22">
        <v>821747.60132340773</v>
      </c>
      <c r="CE4" s="22">
        <v>833285.64510609175</v>
      </c>
      <c r="CF4" s="22">
        <v>870834</v>
      </c>
      <c r="CG4" s="22">
        <v>876670</v>
      </c>
      <c r="CH4" s="47">
        <v>827492.12087912089</v>
      </c>
      <c r="CI4" s="47">
        <v>796025.53204915312</v>
      </c>
      <c r="CJ4" s="47">
        <v>755082.38505921653</v>
      </c>
      <c r="CK4" s="47">
        <v>725255.15667439555</v>
      </c>
      <c r="CL4" s="47">
        <v>672770.60969793319</v>
      </c>
      <c r="CM4" s="47">
        <v>720002.84565142659</v>
      </c>
      <c r="CN4" s="47">
        <v>715590.21156036446</v>
      </c>
      <c r="CO4" s="47">
        <v>710516.86995884776</v>
      </c>
      <c r="CP4" s="47">
        <v>712020.58583433379</v>
      </c>
      <c r="CQ4" s="47">
        <v>752971.77301015391</v>
      </c>
      <c r="CR4" s="47">
        <v>812257.11926899652</v>
      </c>
      <c r="CS4" s="47">
        <v>858606.04096455546</v>
      </c>
      <c r="CT4" s="47">
        <v>836622</v>
      </c>
      <c r="CU4" s="47">
        <v>855838.82179623714</v>
      </c>
      <c r="CV4" s="47">
        <v>855566.37547288777</v>
      </c>
      <c r="CW4" s="47">
        <v>884857.73657548125</v>
      </c>
      <c r="CX4" s="47">
        <v>812585.39269766223</v>
      </c>
      <c r="CY4" s="47">
        <v>811597.49319189356</v>
      </c>
      <c r="CZ4" s="47">
        <v>804529.16191011225</v>
      </c>
      <c r="DA4" s="47">
        <v>779595.94226170157</v>
      </c>
      <c r="DB4" s="47">
        <v>754315.88541131106</v>
      </c>
      <c r="DC4" s="47">
        <v>759431.11923861329</v>
      </c>
      <c r="DD4" s="47">
        <v>783924.62935295759</v>
      </c>
      <c r="DE4" s="47">
        <v>792570.9</v>
      </c>
      <c r="DF4" s="47">
        <v>794959.80874999997</v>
      </c>
      <c r="DG4" s="49">
        <v>801751.14665974397</v>
      </c>
      <c r="DH4" s="24">
        <v>767883.68899215793</v>
      </c>
      <c r="DI4" s="49">
        <v>823351.34482976026</v>
      </c>
      <c r="DJ4" s="49">
        <v>698482.50476190471</v>
      </c>
      <c r="DK4" s="49">
        <v>693549.72499999998</v>
      </c>
      <c r="DL4" s="49">
        <v>673156.3666666667</v>
      </c>
      <c r="DM4" s="49">
        <v>636895.00508420705</v>
      </c>
      <c r="DN4" s="49">
        <v>523006.97439337708</v>
      </c>
      <c r="DO4" s="49">
        <v>591806.50566750625</v>
      </c>
      <c r="DP4" s="49">
        <v>500871.90960686607</v>
      </c>
      <c r="DQ4" s="53">
        <v>689799.57302169269</v>
      </c>
      <c r="DR4" s="47">
        <v>676252</v>
      </c>
      <c r="DS4" s="49">
        <v>690439.72565723804</v>
      </c>
      <c r="DT4" s="24">
        <v>673963.87313471513</v>
      </c>
      <c r="DU4" s="49">
        <v>691532.73749999993</v>
      </c>
      <c r="DV4" s="49">
        <v>626302.2333333334</v>
      </c>
      <c r="DW4" s="49">
        <v>614734.03749999998</v>
      </c>
      <c r="DX4" s="49">
        <v>554942.50952380942</v>
      </c>
      <c r="DY4" s="49">
        <v>572932.38750000007</v>
      </c>
      <c r="DZ4" s="49">
        <v>538157.74736842106</v>
      </c>
      <c r="EA4" s="49">
        <v>506911.28125000006</v>
      </c>
      <c r="EB4" s="49">
        <v>533284.92380952381</v>
      </c>
      <c r="EC4" s="49">
        <f>SUM([1]価格推移グラフ!$EC$4)</f>
        <v>582697.01875000005</v>
      </c>
      <c r="ED4" s="47">
        <v>583894.57619047619</v>
      </c>
      <c r="EE4" s="49">
        <v>583650.03125000012</v>
      </c>
      <c r="EF4" s="24">
        <v>644210.05499999993</v>
      </c>
      <c r="EG4" s="49">
        <v>653708.95333333337</v>
      </c>
      <c r="EH4" s="49">
        <v>578299.38571428577</v>
      </c>
      <c r="EI4" s="49">
        <v>595312.09375000012</v>
      </c>
      <c r="EJ4" s="49">
        <v>538196.05714285723</v>
      </c>
      <c r="EK4" s="49">
        <v>545557.37500000012</v>
      </c>
      <c r="EL4" s="49">
        <v>519926.84117647051</v>
      </c>
      <c r="EM4" s="49">
        <v>525224.56250000012</v>
      </c>
      <c r="EN4" s="49">
        <v>548054.59500000009</v>
      </c>
      <c r="EO4" s="49">
        <v>582837.79813780263</v>
      </c>
      <c r="EP4" s="49">
        <v>588662.4316144156</v>
      </c>
      <c r="EQ4" s="49">
        <v>665663.02</v>
      </c>
      <c r="ER4" s="95">
        <v>690299.61</v>
      </c>
      <c r="ES4" s="49">
        <v>726403.33333333337</v>
      </c>
      <c r="ET4" s="49">
        <v>692879.93500000017</v>
      </c>
      <c r="EU4" s="49">
        <v>696625.82</v>
      </c>
      <c r="EV4" s="49">
        <v>674625.05</v>
      </c>
      <c r="EW4" s="49">
        <v>693594.66000000015</v>
      </c>
      <c r="EX4" s="49">
        <v>675069.93888888892</v>
      </c>
      <c r="EY4" s="49">
        <v>700368.82666666666</v>
      </c>
      <c r="EZ4" s="49">
        <v>739326.1526315792</v>
      </c>
      <c r="FA4" s="49">
        <v>799324.3866666666</v>
      </c>
      <c r="FB4" s="49">
        <f>SUM('１月'!G36)</f>
        <v>812791.51028539147</v>
      </c>
      <c r="FC4" s="49">
        <f>SUM('2月'!G34)</f>
        <v>870353.65999999992</v>
      </c>
      <c r="FD4" s="95">
        <f>SUM('3月'!G36)</f>
        <v>888159.45263157878</v>
      </c>
      <c r="FE4" s="85">
        <f>SUM('4月'!G35)</f>
        <v>911676.26000000013</v>
      </c>
      <c r="FF4" s="85">
        <f>SUM('5月'!G36)</f>
        <v>905408.625</v>
      </c>
      <c r="FG4" s="85">
        <f>SUM('6月'!G35)</f>
        <v>889900.2933333331</v>
      </c>
      <c r="FH4" s="85">
        <f>SUM('7月'!G36)</f>
        <v>871699.97619047621</v>
      </c>
      <c r="FI4" s="85">
        <f>SUM('8月'!G36)</f>
        <v>875015.58571428584</v>
      </c>
      <c r="FJ4" s="85">
        <f>SUM('9月'!G35)</f>
        <v>859410.56500000006</v>
      </c>
      <c r="FK4" s="85" t="e">
        <f>SUM('10月'!G36)</f>
        <v>#DIV/0!</v>
      </c>
      <c r="FL4" s="85" t="e">
        <f>SUM('11月'!G35)</f>
        <v>#DIV/0!</v>
      </c>
      <c r="FM4" s="85" t="e">
        <f>SUM('12月'!G36)</f>
        <v>#DIV/0!</v>
      </c>
    </row>
    <row r="5" spans="1:169" ht="28.9" customHeight="1" x14ac:dyDescent="0.15">
      <c r="A5" s="2" t="s">
        <v>69</v>
      </c>
      <c r="B5" s="2">
        <v>414706</v>
      </c>
      <c r="C5" s="2">
        <v>429271</v>
      </c>
      <c r="D5" s="2">
        <v>427893</v>
      </c>
      <c r="E5" s="2">
        <v>429067</v>
      </c>
      <c r="F5" s="2">
        <v>410224</v>
      </c>
      <c r="G5" s="2">
        <v>408108</v>
      </c>
      <c r="H5" s="2">
        <v>399803</v>
      </c>
      <c r="I5" s="2">
        <v>404086</v>
      </c>
      <c r="J5" s="21">
        <v>389869</v>
      </c>
      <c r="K5" s="2">
        <v>395827</v>
      </c>
      <c r="L5" s="2">
        <v>416502</v>
      </c>
      <c r="M5" s="2">
        <v>450821</v>
      </c>
      <c r="N5" s="7">
        <v>449138</v>
      </c>
      <c r="O5" s="7">
        <v>460704</v>
      </c>
      <c r="P5" s="7">
        <v>465286</v>
      </c>
      <c r="Q5" s="7">
        <v>477658</v>
      </c>
      <c r="R5" s="7">
        <v>481055</v>
      </c>
      <c r="S5" s="7">
        <v>491491</v>
      </c>
      <c r="T5" s="7">
        <v>483962</v>
      </c>
      <c r="U5" s="7">
        <v>494777</v>
      </c>
      <c r="V5" s="7">
        <v>498674</v>
      </c>
      <c r="W5" s="7">
        <v>516342</v>
      </c>
      <c r="X5" s="7">
        <v>531961</v>
      </c>
      <c r="Y5" s="7">
        <v>552785</v>
      </c>
      <c r="Z5" s="7">
        <v>535505</v>
      </c>
      <c r="AA5" s="7">
        <v>540905</v>
      </c>
      <c r="AB5" s="7">
        <v>547760</v>
      </c>
      <c r="AC5" s="7">
        <v>575079</v>
      </c>
      <c r="AD5" s="7">
        <v>578405</v>
      </c>
      <c r="AE5" s="7">
        <v>574611</v>
      </c>
      <c r="AF5" s="7">
        <v>550574</v>
      </c>
      <c r="AG5" s="7">
        <v>561446</v>
      </c>
      <c r="AH5" s="7">
        <v>547456</v>
      </c>
      <c r="AI5" s="7">
        <v>560728</v>
      </c>
      <c r="AJ5" s="7">
        <v>578767</v>
      </c>
      <c r="AK5" s="7">
        <v>594610</v>
      </c>
      <c r="AL5" s="7">
        <v>590294</v>
      </c>
      <c r="AM5" s="7">
        <v>628880</v>
      </c>
      <c r="AN5" s="7">
        <v>639817</v>
      </c>
      <c r="AO5" s="7">
        <v>647481</v>
      </c>
      <c r="AP5" s="7">
        <v>659165</v>
      </c>
      <c r="AQ5" s="7">
        <v>673961</v>
      </c>
      <c r="AR5" s="7">
        <v>656587</v>
      </c>
      <c r="AS5" s="7">
        <v>668334</v>
      </c>
      <c r="AT5" s="7">
        <v>661351</v>
      </c>
      <c r="AU5" s="7">
        <v>666796</v>
      </c>
      <c r="AV5" s="7">
        <v>690805</v>
      </c>
      <c r="AW5" s="7">
        <v>737316</v>
      </c>
      <c r="AX5" s="8">
        <v>750937.05843866174</v>
      </c>
      <c r="AY5" s="8">
        <v>780738.23691179464</v>
      </c>
      <c r="AZ5" s="8">
        <v>791409.39248884097</v>
      </c>
      <c r="BA5" s="8">
        <v>837530.69566003617</v>
      </c>
      <c r="BB5" s="8">
        <v>827418.85216666665</v>
      </c>
      <c r="BC5" s="8">
        <v>824633.84680292523</v>
      </c>
      <c r="BD5" s="8">
        <v>810251.89541432017</v>
      </c>
      <c r="BE5" s="22">
        <v>846083.18644439569</v>
      </c>
      <c r="BF5" s="22">
        <v>827967.5281230578</v>
      </c>
      <c r="BG5" s="22">
        <v>838042.24927797832</v>
      </c>
      <c r="BH5" s="8">
        <v>854901.31947318907</v>
      </c>
      <c r="BI5" s="27">
        <v>887250.25266841648</v>
      </c>
      <c r="BJ5" s="22">
        <v>860341.18347232754</v>
      </c>
      <c r="BK5" s="22">
        <v>885115.75785207702</v>
      </c>
      <c r="BL5" s="22">
        <v>843994.1528849121</v>
      </c>
      <c r="BM5" s="22">
        <v>869172.09049443505</v>
      </c>
      <c r="BN5" s="22">
        <v>850939.60261131567</v>
      </c>
      <c r="BO5" s="22">
        <v>832276.70730797912</v>
      </c>
      <c r="BP5" s="22">
        <v>793801.20645999024</v>
      </c>
      <c r="BQ5" s="22">
        <v>775344.48610841262</v>
      </c>
      <c r="BR5" s="22">
        <v>760277.87511398434</v>
      </c>
      <c r="BS5" s="22">
        <v>760758.23117023194</v>
      </c>
      <c r="BT5" s="22">
        <v>797677.80923298001</v>
      </c>
      <c r="BU5" s="22">
        <v>835802.46544428775</v>
      </c>
      <c r="BV5" s="22">
        <v>813160.05226794828</v>
      </c>
      <c r="BW5" s="22">
        <v>821836.55444330955</v>
      </c>
      <c r="BX5" s="22">
        <v>811301.44126936386</v>
      </c>
      <c r="BY5" s="22">
        <v>831542.07285261783</v>
      </c>
      <c r="BZ5" s="22">
        <v>804652.76295931754</v>
      </c>
      <c r="CA5" s="22">
        <v>814592.53443057137</v>
      </c>
      <c r="CB5" s="22">
        <v>782369.83262411342</v>
      </c>
      <c r="CC5" s="22">
        <v>807964.91089108912</v>
      </c>
      <c r="CD5" s="22">
        <v>769951.78290704929</v>
      </c>
      <c r="CE5" s="22">
        <v>787406.21090770408</v>
      </c>
      <c r="CF5" s="22">
        <v>815082</v>
      </c>
      <c r="CG5" s="22">
        <v>828029</v>
      </c>
      <c r="CH5" s="47">
        <v>773808.31858119101</v>
      </c>
      <c r="CI5" s="47">
        <v>749714.06199923693</v>
      </c>
      <c r="CJ5" s="47">
        <v>710835.43615879829</v>
      </c>
      <c r="CK5" s="47">
        <v>684008.23207729473</v>
      </c>
      <c r="CL5" s="47">
        <v>635964.70841092488</v>
      </c>
      <c r="CM5" s="47">
        <v>691262.08723747986</v>
      </c>
      <c r="CN5" s="47">
        <v>679582.21994671994</v>
      </c>
      <c r="CO5" s="47">
        <v>682212.75578259095</v>
      </c>
      <c r="CP5" s="47">
        <v>672909.53176265268</v>
      </c>
      <c r="CQ5" s="47">
        <v>720771.56280741584</v>
      </c>
      <c r="CR5" s="47">
        <v>771098.40812163916</v>
      </c>
      <c r="CS5" s="47">
        <v>815293.64624573383</v>
      </c>
      <c r="CT5" s="47">
        <v>785017</v>
      </c>
      <c r="CU5" s="47">
        <v>801774.88136620854</v>
      </c>
      <c r="CV5" s="47">
        <v>804048.39517291065</v>
      </c>
      <c r="CW5" s="47">
        <v>839100.96362563898</v>
      </c>
      <c r="CX5" s="47">
        <v>775594.69303749048</v>
      </c>
      <c r="CY5" s="47">
        <v>770901.31136446551</v>
      </c>
      <c r="CZ5" s="47">
        <v>764154.07169872825</v>
      </c>
      <c r="DA5" s="47">
        <v>736174.23762164277</v>
      </c>
      <c r="DB5" s="47">
        <v>718102.00582542014</v>
      </c>
      <c r="DC5" s="47">
        <v>723358.83650948945</v>
      </c>
      <c r="DD5" s="47">
        <v>742555.06495712663</v>
      </c>
      <c r="DE5" s="47">
        <v>738216.60000000009</v>
      </c>
      <c r="DF5" s="47">
        <v>740215.70135626849</v>
      </c>
      <c r="DG5" s="49">
        <v>734419.34931959561</v>
      </c>
      <c r="DH5" s="49">
        <v>709520.77593085112</v>
      </c>
      <c r="DI5" s="49">
        <v>744999.79557692318</v>
      </c>
      <c r="DJ5" s="49">
        <v>655387.38226126519</v>
      </c>
      <c r="DK5" s="49">
        <v>655825.93379048398</v>
      </c>
      <c r="DL5" s="49">
        <v>629095.24658080481</v>
      </c>
      <c r="DM5" s="49">
        <v>592991.13433022914</v>
      </c>
      <c r="DN5" s="49">
        <v>480860.23137064063</v>
      </c>
      <c r="DO5" s="49">
        <v>544549.47637546132</v>
      </c>
      <c r="DP5" s="49">
        <v>461876.46265078872</v>
      </c>
      <c r="DQ5" s="53">
        <v>635890.60726965347</v>
      </c>
      <c r="DR5" s="47">
        <v>621767</v>
      </c>
      <c r="DS5" s="49">
        <v>620142.08834824769</v>
      </c>
      <c r="DT5" s="49">
        <v>608928.03566513758</v>
      </c>
      <c r="DU5" s="49">
        <v>622417.53750000009</v>
      </c>
      <c r="DV5" s="49">
        <v>570880.80573180318</v>
      </c>
      <c r="DW5" s="49">
        <v>558373.71231341583</v>
      </c>
      <c r="DX5" s="49">
        <v>504491.21911206801</v>
      </c>
      <c r="DY5" s="49">
        <v>517843.42499999999</v>
      </c>
      <c r="DZ5" s="49">
        <v>485318.66842105269</v>
      </c>
      <c r="EA5" s="49">
        <v>458147.11250000005</v>
      </c>
      <c r="EB5" s="49">
        <v>480102.75238095241</v>
      </c>
      <c r="EC5" s="49">
        <f>SUM([1]価格推移グラフ!$EC$5)</f>
        <v>525570.375</v>
      </c>
      <c r="ED5" s="47">
        <v>529689.19523809536</v>
      </c>
      <c r="EE5" s="49">
        <v>522667.06249999994</v>
      </c>
      <c r="EF5" s="49">
        <v>578082.98</v>
      </c>
      <c r="EG5" s="49">
        <v>582804.19999999995</v>
      </c>
      <c r="EH5" s="49">
        <v>516468.20173067524</v>
      </c>
      <c r="EI5" s="49">
        <v>534963.8054295542</v>
      </c>
      <c r="EJ5" s="49">
        <v>482998.2086801331</v>
      </c>
      <c r="EK5" s="49">
        <v>488515.08750000008</v>
      </c>
      <c r="EL5" s="49">
        <v>465978.82941176475</v>
      </c>
      <c r="EM5" s="49">
        <v>472622.35625000001</v>
      </c>
      <c r="EN5" s="49">
        <v>496461.57</v>
      </c>
      <c r="EO5" s="49">
        <v>526849.90380527941</v>
      </c>
      <c r="EP5" s="49">
        <v>520160.7638616988</v>
      </c>
      <c r="EQ5" s="49">
        <v>593092.4107352366</v>
      </c>
      <c r="ER5" s="49">
        <v>626389.43893848418</v>
      </c>
      <c r="ES5" s="49">
        <v>659020.52934822417</v>
      </c>
      <c r="ET5" s="49">
        <v>634304.84435324511</v>
      </c>
      <c r="EU5" s="49">
        <v>642903.72000385809</v>
      </c>
      <c r="EV5" s="49">
        <v>623908.60313594167</v>
      </c>
      <c r="EW5" s="49">
        <v>642130.87086776865</v>
      </c>
      <c r="EX5" s="49">
        <v>630486.23326015379</v>
      </c>
      <c r="EY5" s="49">
        <v>650081.68612493086</v>
      </c>
      <c r="EZ5" s="49">
        <v>690673.68636284571</v>
      </c>
      <c r="FA5" s="49">
        <v>748369.68262374518</v>
      </c>
      <c r="FB5" s="49">
        <f>SUM('１月'!I36)</f>
        <v>763053.93042724265</v>
      </c>
      <c r="FC5" s="49">
        <f>SUM('2月'!I34)</f>
        <v>813735.76238361269</v>
      </c>
      <c r="FD5" s="49">
        <f>SUM('3月'!I36)</f>
        <v>836400.39010494761</v>
      </c>
      <c r="FE5" s="85">
        <f>SUM('4月'!I35)</f>
        <v>857298.43337191362</v>
      </c>
      <c r="FF5" s="85">
        <f>SUM('5月'!I36)</f>
        <v>858761.86928687198</v>
      </c>
      <c r="FG5" s="85">
        <f>SUM('6月'!I35)</f>
        <v>834769.02401289286</v>
      </c>
      <c r="FH5" s="85">
        <f>SUM('7月'!I36)</f>
        <v>817823.06184014573</v>
      </c>
      <c r="FI5" s="85">
        <f>SUM('8月'!I36)</f>
        <v>819239.04836726049</v>
      </c>
      <c r="FJ5" s="85">
        <f>SUM('9月'!I35)</f>
        <v>806538.99235851772</v>
      </c>
      <c r="FK5" s="85" t="e">
        <f>SUM('10月'!I36)</f>
        <v>#DIV/0!</v>
      </c>
      <c r="FL5" s="85" t="e">
        <f>SUM('11月'!I35)</f>
        <v>#DIV/0!</v>
      </c>
      <c r="FM5" s="85" t="e">
        <f>SUM('12月'!I36)</f>
        <v>#DIV/0!</v>
      </c>
    </row>
    <row r="6" spans="1:169" ht="28.9" customHeight="1" x14ac:dyDescent="0.15">
      <c r="A6" s="44" t="s">
        <v>106</v>
      </c>
      <c r="B6" s="2"/>
      <c r="C6" s="2"/>
      <c r="D6" s="2"/>
      <c r="E6" s="2"/>
      <c r="F6" s="2"/>
      <c r="G6" s="2"/>
      <c r="H6" s="2"/>
      <c r="I6" s="2"/>
      <c r="J6" s="2"/>
      <c r="K6" s="2"/>
      <c r="L6" s="2"/>
      <c r="M6" s="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3">
        <v>341000</v>
      </c>
      <c r="BW6" s="43">
        <v>341000</v>
      </c>
      <c r="BX6" s="43">
        <v>341000</v>
      </c>
      <c r="BY6" s="43">
        <v>531000</v>
      </c>
      <c r="BZ6" s="43">
        <v>531000</v>
      </c>
      <c r="CA6" s="43">
        <v>531000</v>
      </c>
      <c r="CB6" s="43">
        <v>531000</v>
      </c>
      <c r="CC6" s="43">
        <v>531000</v>
      </c>
      <c r="CD6" s="43">
        <v>531000</v>
      </c>
      <c r="CE6" s="43">
        <v>531000</v>
      </c>
      <c r="CF6" s="43">
        <v>531000</v>
      </c>
      <c r="CG6" s="43">
        <v>531000</v>
      </c>
      <c r="CH6" s="48">
        <v>541000</v>
      </c>
      <c r="CI6" s="48">
        <v>541000</v>
      </c>
      <c r="CJ6" s="48">
        <v>541000</v>
      </c>
      <c r="CK6" s="48">
        <v>541000</v>
      </c>
      <c r="CL6" s="48">
        <v>541000</v>
      </c>
      <c r="CM6" s="48">
        <v>541000</v>
      </c>
      <c r="CN6" s="48">
        <v>541000</v>
      </c>
      <c r="CO6" s="48">
        <v>541000</v>
      </c>
      <c r="CP6" s="48">
        <v>541000</v>
      </c>
      <c r="CQ6" s="48">
        <v>541000</v>
      </c>
      <c r="CR6" s="48">
        <v>541000</v>
      </c>
      <c r="CS6" s="48">
        <v>541000</v>
      </c>
      <c r="CT6" s="48">
        <v>541000</v>
      </c>
      <c r="CU6" s="48">
        <v>541000</v>
      </c>
      <c r="CV6" s="48">
        <v>541000</v>
      </c>
      <c r="CW6" s="48">
        <v>541000</v>
      </c>
      <c r="CX6" s="48">
        <v>541000</v>
      </c>
      <c r="CY6" s="48">
        <v>541000</v>
      </c>
      <c r="CZ6" s="48">
        <v>541000</v>
      </c>
      <c r="DA6" s="48">
        <v>541000</v>
      </c>
      <c r="DB6" s="48">
        <v>541000</v>
      </c>
      <c r="DC6" s="48">
        <v>541000</v>
      </c>
      <c r="DD6" s="48">
        <v>541000</v>
      </c>
      <c r="DE6" s="48">
        <v>541000</v>
      </c>
      <c r="DF6" s="48">
        <v>541000</v>
      </c>
      <c r="DG6" s="48">
        <v>541000</v>
      </c>
      <c r="DH6" s="48">
        <v>541000</v>
      </c>
      <c r="DI6" s="48">
        <v>541000</v>
      </c>
      <c r="DJ6" s="48">
        <v>541000</v>
      </c>
      <c r="DK6" s="48">
        <v>541000</v>
      </c>
      <c r="DL6" s="48">
        <v>541000</v>
      </c>
      <c r="DM6" s="48">
        <v>541000</v>
      </c>
      <c r="DN6" s="48">
        <v>541000</v>
      </c>
      <c r="DO6" s="48">
        <v>541000</v>
      </c>
      <c r="DP6" s="48">
        <v>541000</v>
      </c>
      <c r="DQ6" s="48">
        <v>541000</v>
      </c>
      <c r="DR6" s="48">
        <v>541000</v>
      </c>
      <c r="DS6" s="48">
        <v>541000</v>
      </c>
      <c r="DT6" s="48">
        <v>541000</v>
      </c>
      <c r="DU6" s="48">
        <v>556000</v>
      </c>
      <c r="DV6" s="48">
        <v>556000</v>
      </c>
      <c r="DW6" s="48">
        <v>556000</v>
      </c>
      <c r="DX6" s="48">
        <v>556000</v>
      </c>
      <c r="DY6" s="48">
        <v>556000</v>
      </c>
      <c r="DZ6" s="48">
        <v>556000</v>
      </c>
      <c r="EA6" s="48">
        <v>556000</v>
      </c>
      <c r="EB6" s="48">
        <v>556000</v>
      </c>
      <c r="EC6" s="48">
        <v>556000</v>
      </c>
      <c r="ED6" s="48">
        <v>556000</v>
      </c>
      <c r="EE6" s="48">
        <v>556000</v>
      </c>
      <c r="EF6" s="48">
        <v>556000</v>
      </c>
      <c r="EG6" s="48">
        <v>564000</v>
      </c>
      <c r="EH6" s="48">
        <v>564000</v>
      </c>
      <c r="EI6" s="48">
        <v>564000</v>
      </c>
      <c r="EJ6" s="48">
        <v>564000</v>
      </c>
      <c r="EK6" s="48">
        <v>564000</v>
      </c>
      <c r="EL6" s="48">
        <v>564000</v>
      </c>
      <c r="EM6" s="48">
        <v>564000</v>
      </c>
      <c r="EN6" s="48">
        <v>564000</v>
      </c>
      <c r="EO6" s="48">
        <v>564000</v>
      </c>
      <c r="EP6" s="215">
        <v>564000</v>
      </c>
      <c r="EQ6" s="215">
        <v>564000</v>
      </c>
      <c r="ER6" s="215">
        <v>564000</v>
      </c>
      <c r="ES6" s="215">
        <v>574000</v>
      </c>
      <c r="ET6" s="215">
        <v>574000</v>
      </c>
      <c r="EU6" s="215">
        <v>574000</v>
      </c>
      <c r="EV6" s="215">
        <v>574000</v>
      </c>
      <c r="EW6" s="215">
        <v>574000</v>
      </c>
      <c r="EX6" s="215">
        <v>574000</v>
      </c>
      <c r="EY6" s="215">
        <v>574000</v>
      </c>
      <c r="EZ6" s="215">
        <v>574000</v>
      </c>
      <c r="FA6" s="215">
        <v>574000</v>
      </c>
      <c r="FB6" s="215">
        <v>574000</v>
      </c>
      <c r="FC6" s="215">
        <v>574000</v>
      </c>
      <c r="FD6" s="215">
        <v>574000</v>
      </c>
      <c r="FE6" s="86">
        <v>600000</v>
      </c>
      <c r="FF6" s="86">
        <v>600000</v>
      </c>
      <c r="FG6" s="86">
        <v>600000</v>
      </c>
      <c r="FH6" s="86">
        <v>600000</v>
      </c>
      <c r="FI6" s="86">
        <v>600000</v>
      </c>
      <c r="FJ6" s="86">
        <v>600000</v>
      </c>
      <c r="FK6" s="86">
        <v>600000</v>
      </c>
      <c r="FL6" s="86">
        <v>600000</v>
      </c>
      <c r="FM6" s="86">
        <v>600000</v>
      </c>
    </row>
    <row r="7" spans="1:169" ht="15" customHeight="1" x14ac:dyDescent="0.15">
      <c r="AC7" t="s">
        <v>70</v>
      </c>
    </row>
    <row r="8" spans="1:169" ht="15" customHeight="1" x14ac:dyDescent="0.15">
      <c r="DP8" s="65" t="s">
        <v>144</v>
      </c>
      <c r="DQ8" s="64">
        <f>AVERAGE(DF5:DQ5)</f>
        <v>632136.00806774711</v>
      </c>
      <c r="EB8" s="65" t="s">
        <v>145</v>
      </c>
      <c r="EC8" s="64">
        <f>AVERAGE(DR5:EC5)</f>
        <v>547831.89433105639</v>
      </c>
      <c r="EH8" s="64"/>
      <c r="EN8" s="65" t="s">
        <v>146</v>
      </c>
      <c r="EO8" s="64">
        <f>AVERAGE(ED5:EO5)</f>
        <v>516508.45004545851</v>
      </c>
      <c r="EZ8" s="65" t="s">
        <v>162</v>
      </c>
      <c r="FA8" s="64">
        <f>AVERAGE(EP5:FA5)</f>
        <v>638460.20580134436</v>
      </c>
      <c r="FB8" s="64"/>
    </row>
    <row r="9" spans="1:169" ht="15" customHeight="1" x14ac:dyDescent="0.15">
      <c r="H9" s="1" t="s">
        <v>71</v>
      </c>
    </row>
    <row r="10" spans="1:169" ht="15" customHeight="1" x14ac:dyDescent="0.15"/>
    <row r="11" spans="1:169" ht="15" customHeight="1" x14ac:dyDescent="0.15"/>
    <row r="12" spans="1:169" ht="15" customHeight="1" x14ac:dyDescent="0.15"/>
    <row r="13" spans="1:169" ht="15" customHeight="1" x14ac:dyDescent="0.15"/>
    <row r="14" spans="1:169" ht="15" customHeight="1" x14ac:dyDescent="0.15">
      <c r="AK14" t="s">
        <v>58</v>
      </c>
    </row>
    <row r="15" spans="1:169" ht="15" customHeight="1" x14ac:dyDescent="0.15"/>
    <row r="16" spans="1:169"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spans="1:92" ht="15" customHeight="1" x14ac:dyDescent="0.15"/>
    <row r="50" spans="1:92" ht="15" customHeight="1" x14ac:dyDescent="0.15"/>
    <row r="51" spans="1:92" ht="15" customHeight="1" x14ac:dyDescent="0.15"/>
    <row r="52" spans="1:92" ht="15" customHeight="1" x14ac:dyDescent="0.15"/>
    <row r="53" spans="1:92" ht="15" customHeight="1" x14ac:dyDescent="0.15"/>
    <row r="54" spans="1:92" ht="15" customHeight="1" x14ac:dyDescent="0.15">
      <c r="A54" s="1" t="s">
        <v>107</v>
      </c>
    </row>
    <row r="55" spans="1:92" ht="15" customHeight="1" x14ac:dyDescent="0.15"/>
    <row r="56" spans="1:92" ht="15" customHeight="1" x14ac:dyDescent="0.15"/>
    <row r="57" spans="1:92" ht="15" customHeight="1" x14ac:dyDescent="0.15"/>
    <row r="58" spans="1:92" ht="15" customHeight="1" x14ac:dyDescent="0.15"/>
    <row r="59" spans="1:92" ht="15" customHeight="1" x14ac:dyDescent="0.15"/>
    <row r="60" spans="1:92" ht="15" customHeight="1" x14ac:dyDescent="0.15"/>
    <row r="61" spans="1:92" ht="15" customHeight="1" x14ac:dyDescent="0.15">
      <c r="A61" s="257" t="s">
        <v>140</v>
      </c>
      <c r="B61" s="257"/>
      <c r="C61" s="257"/>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257"/>
      <c r="AM61" s="257"/>
      <c r="AN61" s="257"/>
      <c r="AO61" s="257"/>
      <c r="AP61" s="257"/>
      <c r="AQ61" s="257"/>
      <c r="AR61" s="257"/>
      <c r="AS61" s="257"/>
      <c r="AT61" s="257"/>
      <c r="AU61" s="257"/>
      <c r="AV61" s="257"/>
      <c r="AW61" s="257"/>
      <c r="AX61" s="257"/>
      <c r="AY61" s="257"/>
      <c r="AZ61" s="257"/>
      <c r="BA61" s="257"/>
      <c r="BB61" s="257"/>
      <c r="BC61" s="257"/>
      <c r="BD61" s="257"/>
      <c r="BE61" s="257"/>
      <c r="BF61" s="257"/>
      <c r="BG61" s="257"/>
      <c r="BH61" s="257"/>
      <c r="BI61" s="257"/>
      <c r="BJ61" s="257"/>
      <c r="BK61" s="257"/>
      <c r="BL61" s="257"/>
      <c r="BM61" s="257"/>
      <c r="BN61" s="257"/>
      <c r="BO61" s="257"/>
      <c r="BP61" s="257"/>
      <c r="BQ61" s="257"/>
      <c r="BR61" s="257"/>
      <c r="BS61" s="257"/>
      <c r="BT61" s="257"/>
      <c r="BU61" s="257"/>
      <c r="BV61" s="257"/>
      <c r="BW61" s="257"/>
      <c r="BX61" s="257"/>
      <c r="BY61" s="257"/>
      <c r="BZ61" s="257"/>
      <c r="CA61" s="257"/>
      <c r="CB61" s="257"/>
      <c r="CC61" s="257"/>
      <c r="CD61" s="257"/>
      <c r="CE61" s="257"/>
      <c r="CF61" s="257"/>
      <c r="CG61" s="257"/>
      <c r="CH61" s="257"/>
      <c r="CI61" s="257"/>
      <c r="CJ61" s="257"/>
      <c r="CK61" s="257"/>
      <c r="CL61" s="257"/>
      <c r="CM61" s="257"/>
      <c r="CN61" s="257"/>
    </row>
    <row r="62" spans="1:92" ht="15" customHeight="1" x14ac:dyDescent="0.15">
      <c r="A62" s="258"/>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258"/>
      <c r="AL62" s="258"/>
      <c r="AM62" s="258"/>
      <c r="AN62" s="258"/>
      <c r="AO62" s="258"/>
      <c r="AP62" s="258"/>
      <c r="AQ62" s="258"/>
      <c r="AR62" s="258"/>
      <c r="AS62" s="258"/>
      <c r="AT62" s="258"/>
      <c r="AU62" s="258"/>
      <c r="AV62" s="258"/>
      <c r="AW62" s="258"/>
      <c r="AX62" s="258"/>
      <c r="AY62" s="258"/>
      <c r="AZ62" s="258"/>
      <c r="BA62" s="258"/>
      <c r="BB62" s="258"/>
      <c r="BC62" s="258"/>
      <c r="BD62" s="258"/>
      <c r="BE62" s="258"/>
      <c r="BF62" s="258"/>
      <c r="BG62" s="258"/>
      <c r="BH62" s="258"/>
      <c r="BI62" s="258"/>
      <c r="BJ62" s="258"/>
      <c r="BK62" s="258"/>
      <c r="BL62" s="258"/>
      <c r="BM62" s="258"/>
      <c r="BN62" s="258"/>
      <c r="BO62" s="258"/>
      <c r="BP62" s="258"/>
      <c r="BQ62" s="258"/>
      <c r="BR62" s="258"/>
      <c r="BS62" s="258"/>
      <c r="BT62" s="258"/>
      <c r="BU62" s="258"/>
      <c r="BV62" s="258"/>
      <c r="BW62" s="258"/>
      <c r="BX62" s="258"/>
      <c r="BY62" s="258"/>
      <c r="BZ62" s="258"/>
      <c r="CA62" s="258"/>
      <c r="CB62" s="258"/>
      <c r="CC62" s="258"/>
      <c r="CD62" s="258"/>
      <c r="CE62" s="258"/>
      <c r="CF62" s="258"/>
      <c r="CG62" s="258"/>
      <c r="CH62" s="258"/>
      <c r="CI62" s="258"/>
      <c r="CJ62" s="258"/>
      <c r="CK62" s="258"/>
      <c r="CL62" s="258"/>
      <c r="CM62" s="258"/>
      <c r="CN62" s="258"/>
    </row>
    <row r="63" spans="1:92" ht="15" customHeight="1" x14ac:dyDescent="0.15">
      <c r="A63" s="258"/>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c r="AS63" s="258"/>
      <c r="AT63" s="258"/>
      <c r="AU63" s="258"/>
      <c r="AV63" s="258"/>
      <c r="AW63" s="258"/>
      <c r="AX63" s="258"/>
      <c r="AY63" s="258"/>
      <c r="AZ63" s="258"/>
      <c r="BA63" s="258"/>
      <c r="BB63" s="258"/>
      <c r="BC63" s="258"/>
      <c r="BD63" s="258"/>
      <c r="BE63" s="258"/>
      <c r="BF63" s="258"/>
      <c r="BG63" s="258"/>
      <c r="BH63" s="258"/>
      <c r="BI63" s="258"/>
      <c r="BJ63" s="258"/>
      <c r="BK63" s="258"/>
      <c r="BL63" s="258"/>
      <c r="BM63" s="258"/>
      <c r="BN63" s="258"/>
      <c r="BO63" s="258"/>
      <c r="BP63" s="258"/>
      <c r="BQ63" s="258"/>
      <c r="BR63" s="258"/>
      <c r="BS63" s="258"/>
      <c r="BT63" s="258"/>
      <c r="BU63" s="258"/>
      <c r="BV63" s="258"/>
      <c r="BW63" s="258"/>
      <c r="BX63" s="258"/>
      <c r="BY63" s="258"/>
      <c r="BZ63" s="258"/>
      <c r="CA63" s="258"/>
      <c r="CB63" s="258"/>
      <c r="CC63" s="258"/>
      <c r="CD63" s="258"/>
      <c r="CE63" s="258"/>
      <c r="CF63" s="258"/>
      <c r="CG63" s="258"/>
      <c r="CH63" s="258"/>
      <c r="CI63" s="258"/>
      <c r="CJ63" s="258"/>
      <c r="CK63" s="258"/>
      <c r="CL63" s="258"/>
      <c r="CM63" s="258"/>
      <c r="CN63" s="258"/>
    </row>
    <row r="64" spans="1:92" ht="15" customHeight="1" x14ac:dyDescent="0.15">
      <c r="A64" s="258"/>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c r="AS64" s="258"/>
      <c r="AT64" s="258"/>
      <c r="AU64" s="258"/>
      <c r="AV64" s="258"/>
      <c r="AW64" s="258"/>
      <c r="AX64" s="258"/>
      <c r="AY64" s="258"/>
      <c r="AZ64" s="258"/>
      <c r="BA64" s="258"/>
      <c r="BB64" s="258"/>
      <c r="BC64" s="258"/>
      <c r="BD64" s="258"/>
      <c r="BE64" s="258"/>
      <c r="BF64" s="258"/>
      <c r="BG64" s="258"/>
      <c r="BH64" s="258"/>
      <c r="BI64" s="258"/>
      <c r="BJ64" s="258"/>
      <c r="BK64" s="258"/>
      <c r="BL64" s="258"/>
      <c r="BM64" s="258"/>
      <c r="BN64" s="258"/>
      <c r="BO64" s="258"/>
      <c r="BP64" s="258"/>
      <c r="BQ64" s="258"/>
      <c r="BR64" s="258"/>
      <c r="BS64" s="258"/>
      <c r="BT64" s="258"/>
      <c r="BU64" s="258"/>
      <c r="BV64" s="258"/>
      <c r="BW64" s="258"/>
      <c r="BX64" s="258"/>
      <c r="BY64" s="258"/>
      <c r="BZ64" s="258"/>
      <c r="CA64" s="258"/>
      <c r="CB64" s="258"/>
      <c r="CC64" s="258"/>
      <c r="CD64" s="258"/>
      <c r="CE64" s="258"/>
      <c r="CF64" s="258"/>
      <c r="CG64" s="258"/>
      <c r="CH64" s="258"/>
      <c r="CI64" s="258"/>
      <c r="CJ64" s="258"/>
      <c r="CK64" s="258"/>
      <c r="CL64" s="258"/>
      <c r="CM64" s="258"/>
      <c r="CN64" s="258"/>
    </row>
    <row r="65" spans="1:92" ht="15" customHeight="1" x14ac:dyDescent="0.15">
      <c r="A65" s="258"/>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c r="AS65" s="258"/>
      <c r="AT65" s="258"/>
      <c r="AU65" s="258"/>
      <c r="AV65" s="258"/>
      <c r="AW65" s="258"/>
      <c r="AX65" s="258"/>
      <c r="AY65" s="258"/>
      <c r="AZ65" s="258"/>
      <c r="BA65" s="258"/>
      <c r="BB65" s="258"/>
      <c r="BC65" s="258"/>
      <c r="BD65" s="258"/>
      <c r="BE65" s="258"/>
      <c r="BF65" s="258"/>
      <c r="BG65" s="258"/>
      <c r="BH65" s="258"/>
      <c r="BI65" s="258"/>
      <c r="BJ65" s="258"/>
      <c r="BK65" s="258"/>
      <c r="BL65" s="258"/>
      <c r="BM65" s="258"/>
      <c r="BN65" s="258"/>
      <c r="BO65" s="258"/>
      <c r="BP65" s="258"/>
      <c r="BQ65" s="258"/>
      <c r="BR65" s="258"/>
      <c r="BS65" s="258"/>
      <c r="BT65" s="258"/>
      <c r="BU65" s="258"/>
      <c r="BV65" s="258"/>
      <c r="BW65" s="258"/>
      <c r="BX65" s="258"/>
      <c r="BY65" s="258"/>
      <c r="BZ65" s="258"/>
      <c r="CA65" s="258"/>
      <c r="CB65" s="258"/>
      <c r="CC65" s="258"/>
      <c r="CD65" s="258"/>
      <c r="CE65" s="258"/>
      <c r="CF65" s="258"/>
      <c r="CG65" s="258"/>
      <c r="CH65" s="258"/>
      <c r="CI65" s="258"/>
      <c r="CJ65" s="258"/>
      <c r="CK65" s="258"/>
      <c r="CL65" s="258"/>
      <c r="CM65" s="258"/>
      <c r="CN65" s="258"/>
    </row>
    <row r="66" spans="1:92" ht="15" customHeight="1" x14ac:dyDescent="0.15"/>
  </sheetData>
  <mergeCells count="1">
    <mergeCell ref="A61:CN65"/>
  </mergeCells>
  <phoneticPr fontId="1"/>
  <pageMargins left="0.43307086614173229" right="0.11811023622047245" top="0.74803149606299213" bottom="0.74803149606299213" header="0.31496062992125984" footer="0.31496062992125984"/>
  <pageSetup paperSize="9" scale="65" fitToHeight="0" orientation="landscape" r:id="rId1"/>
  <colBreaks count="1" manualBreakCount="1">
    <brk id="121" max="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6</vt:i4>
      </vt:variant>
    </vt:vector>
  </HeadingPairs>
  <TitlesOfParts>
    <vt:vector size="19" baseType="lpstr">
      <vt:lpstr>１月</vt:lpstr>
      <vt:lpstr>2月</vt:lpstr>
      <vt:lpstr>3月</vt:lpstr>
      <vt:lpstr>4月</vt:lpstr>
      <vt:lpstr>5月</vt:lpstr>
      <vt:lpstr>6月</vt:lpstr>
      <vt:lpstr>7月</vt:lpstr>
      <vt:lpstr>8月</vt:lpstr>
      <vt:lpstr>9月</vt:lpstr>
      <vt:lpstr>10月</vt:lpstr>
      <vt:lpstr>11月</vt:lpstr>
      <vt:lpstr>12月</vt:lpstr>
      <vt:lpstr>価格推移グラフ</vt:lpstr>
      <vt:lpstr>'１月'!Print_Area</vt:lpstr>
      <vt:lpstr>'2月'!Print_Area</vt:lpstr>
      <vt:lpstr>'3月'!Print_Area</vt:lpstr>
      <vt:lpstr>'8月'!Print_Area</vt:lpstr>
      <vt:lpstr>'9月'!Print_Area</vt:lpstr>
      <vt:lpstr>価格推移グラフ!Print_Area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CHIKU46-46</dc:creator>
  <cp:lastModifiedBy>CHIKU46-2402</cp:lastModifiedBy>
  <cp:lastPrinted>2026-03-11T21:48:20Z</cp:lastPrinted>
  <dcterms:created xsi:type="dcterms:W3CDTF">2012-12-25T07:23:33Z</dcterms:created>
  <dcterms:modified xsi:type="dcterms:W3CDTF">2026-09-16T04:12:56Z</dcterms:modified>
</cp:coreProperties>
</file>